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ancangan" sheetId="1" state="visible" r:id="rId3"/>
    <sheet name="Portfolio" sheetId="2" state="visible" r:id="rId4"/>
    <sheet name="Unjuran" sheetId="3" state="visible" r:id="rId5"/>
    <sheet name="Pandua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<sst xmlns="http://schemas.openxmlformats.org/spreadsheetml/2006/main" count="103" uniqueCount="98">
  <si>
    <t xml:space="preserve">PERANCANGAN PELABURAN</t>
  </si>
  <si>
    <t xml:space="preserve">Template ringkas — unjuran nilai pelaburan, kesan inflasi dan simpanan bulanan yang diperlukan</t>
  </si>
  <si>
    <t xml:space="preserve">PANDUAN: Isi hanya sel berlatar KUNING (tulisan biru). Sel lain adalah formula automatik. Nilai sedia ada hanyalah CONTOH — gantikan dengan angka anda sendiri.</t>
  </si>
  <si>
    <t xml:space="preserve">A  —  MAKLUMAT ASAS</t>
  </si>
  <si>
    <t xml:space="preserve">Matlamat pelaburan</t>
  </si>
  <si>
    <t xml:space="preserve">Persaraan (CONTOH)</t>
  </si>
  <si>
    <t xml:space="preserve">Contoh: persaraan, pendidikan anak, haji, beli rumah</t>
  </si>
  <si>
    <t xml:space="preserve">Umur semasa</t>
  </si>
  <si>
    <t xml:space="preserve">Umur sasaran</t>
  </si>
  <si>
    <t xml:space="preserve">Tempoh pelaburan (tahun)</t>
  </si>
  <si>
    <t xml:space="preserve">Maksimum 45 tahun dalam jadual unjuran</t>
  </si>
  <si>
    <t xml:space="preserve">B  —  MODAL &amp; SUMBANGAN</t>
  </si>
  <si>
    <t xml:space="preserve">Modal permulaan (RM)</t>
  </si>
  <si>
    <t xml:space="preserve">Wang sedia ada untuk dilaburkan hari ini</t>
  </si>
  <si>
    <t xml:space="preserve">Simpanan bulanan (RM)</t>
  </si>
  <si>
    <t xml:space="preserve">Kenaikan simpanan setiap tahun (%)</t>
  </si>
  <si>
    <t xml:space="preserve">Isi 0% jika simpanan bulanan kekal sama setiap tahun</t>
  </si>
  <si>
    <t xml:space="preserve">C  —  ANDAIAN</t>
  </si>
  <si>
    <t xml:space="preserve">Kadar pulangan tahunan dijangka (%)</t>
  </si>
  <si>
    <t xml:space="preserve">Pulangan bersih selepas yuran. Konservatif 4-5%, sederhana 6-8%</t>
  </si>
  <si>
    <t xml:space="preserve">Kadar inflasi tahunan (%)</t>
  </si>
  <si>
    <t xml:space="preserve">Purata inflasi Malaysia jangka panjang lebih kurang 2-3%</t>
  </si>
  <si>
    <t xml:space="preserve">Pulangan berwajaran portfolio (rujukan)</t>
  </si>
  <si>
    <t xml:space="preserve">Dikira dari helaian Portfolio — boleh disalin ke sel B17</t>
  </si>
  <si>
    <t xml:space="preserve">D  —  SASARAN</t>
  </si>
  <si>
    <t xml:space="preserve">Sasaran nilai (mengikut nilai wang hari ini, RM)</t>
  </si>
  <si>
    <t xml:space="preserve">Sasaran setara pada umur sasaran (RM)</t>
  </si>
  <si>
    <t xml:space="preserve">Sasaran yang telah dilaraskan dengan inflasi</t>
  </si>
  <si>
    <t xml:space="preserve">E  —  KEPUTUSAN UNJURAN</t>
  </si>
  <si>
    <t xml:space="preserve">Nilai terkumpul pada umur sasaran (RM)</t>
  </si>
  <si>
    <t xml:space="preserve">Jumlah modal yang anda sumbangkan (RM)</t>
  </si>
  <si>
    <t xml:space="preserve">Jumlah keuntungan pelaburan (RM)</t>
  </si>
  <si>
    <t xml:space="preserve">Nilai sebenar mengikut kuasa beli hari ini (RM)</t>
  </si>
  <si>
    <t xml:space="preserve">Sasaran diperlukan pada umur sasaran (RM)</t>
  </si>
  <si>
    <t xml:space="preserve">Lebihan / (Jurang) (RM)</t>
  </si>
  <si>
    <t xml:space="preserve">Peratus sasaran tercapai</t>
  </si>
  <si>
    <t xml:space="preserve">Simpanan bulanan diperlukan untuk capai sasaran (RM)</t>
  </si>
  <si>
    <t xml:space="preserve">Andaian sumbangan tetap (tanpa kenaikan tahunan)</t>
  </si>
  <si>
    <t xml:space="preserve">Nota: Unjuran menggunakan pengkompaunan bulanan (kadar tahunan / 12) dan sumbangan pada hujung setiap bulan. Pulangan pelaburan sebenar tidak tetap dan boleh negatif. Template ini untuk perancangan peribadi sahaja, bukan nasihat pelaburan.</t>
  </si>
  <si>
    <t xml:space="preserve">PERUNTUKAN PORTFOLIO ASET</t>
  </si>
  <si>
    <t xml:space="preserve">Isi lajur KUNING: peratus peruntukan dan pulangan dijangka bagi setiap kelas aset. Jumlah peruntukan mesti 100%.</t>
  </si>
  <si>
    <t xml:space="preserve">Kelas Aset</t>
  </si>
  <si>
    <t xml:space="preserve">Peruntukan (%)</t>
  </si>
  <si>
    <t xml:space="preserve">Jumlah (RM)</t>
  </si>
  <si>
    <t xml:space="preserve">Pulangan dijangka (%)</t>
  </si>
  <si>
    <t xml:space="preserve">Tahap Risiko</t>
  </si>
  <si>
    <t xml:space="preserve">Catatan</t>
  </si>
  <si>
    <t xml:space="preserve">Tunai / Simpanan tetap</t>
  </si>
  <si>
    <t xml:space="preserve">Rendah</t>
  </si>
  <si>
    <t xml:space="preserve">Dana kecemasan 3-6 bulan perbelanjaan</t>
  </si>
  <si>
    <t xml:space="preserve">ASB / ASNB</t>
  </si>
  <si>
    <t xml:space="preserve">Harga unit tetap RM1, dividen tahunan</t>
  </si>
  <si>
    <t xml:space="preserve">Tabung Haji</t>
  </si>
  <si>
    <t xml:space="preserve">Simpanan haji, patuh Syariah</t>
  </si>
  <si>
    <t xml:space="preserve">Sukuk / Bon</t>
  </si>
  <si>
    <t xml:space="preserve">Rendah-Sederhana</t>
  </si>
  <si>
    <t xml:space="preserve">Pendapatan tetap, penstabil portfolio</t>
  </si>
  <si>
    <t xml:space="preserve">Unit amanah patuh Syariah</t>
  </si>
  <si>
    <t xml:space="preserve">Sederhana</t>
  </si>
  <si>
    <t xml:space="preserve">Diuruskan pengurus dana, yuran 1-2%</t>
  </si>
  <si>
    <t xml:space="preserve">Saham / ETF</t>
  </si>
  <si>
    <t xml:space="preserve">Tinggi</t>
  </si>
  <si>
    <t xml:space="preserve">Turun naik tinggi, sesuai jangka panjang</t>
  </si>
  <si>
    <t xml:space="preserve">Emas</t>
  </si>
  <si>
    <t xml:space="preserve">Lindung nilai inflasi</t>
  </si>
  <si>
    <t xml:space="preserve">Hartanah / REIT</t>
  </si>
  <si>
    <t xml:space="preserve">Pendapatan sewa + kenaikan nilai</t>
  </si>
  <si>
    <t xml:space="preserve">JUMLAH</t>
  </si>
  <si>
    <t xml:space="preserve">Pulangan berwajaran portfolio</t>
  </si>
  <si>
    <t xml:space="preserve">Kadar berwajaran</t>
  </si>
  <si>
    <t xml:space="preserve">(jumlah peruntukan x pulangan dijangka)</t>
  </si>
  <si>
    <t xml:space="preserve">Nota: Pulangan dijangka di atas adalah anggaran jangka panjang dan BUKAN jaminan. Semak semula (rebalance) peruntukan sekurang-kurangnya sekali setahun, dan kurangkan aset berisiko tinggi apabila menghampiri umur sasaran.</t>
  </si>
  <si>
    <t xml:space="preserve">UNJURAN TAHUNAN</t>
  </si>
  <si>
    <t xml:space="preserve">Dikira automatik daripada helaian 'Perancangan'. Jangan ubah formula di sini.</t>
  </si>
  <si>
    <t xml:space="preserve">Tahun</t>
  </si>
  <si>
    <t xml:space="preserve">Umur</t>
  </si>
  <si>
    <t xml:space="preserve">Baki awal (RM)</t>
  </si>
  <si>
    <t xml:space="preserve">Jumlah sumbangan (RM)</t>
  </si>
  <si>
    <t xml:space="preserve">Pulangan pelaburan (RM)</t>
  </si>
  <si>
    <t xml:space="preserve">Baki akhir (RM)</t>
  </si>
  <si>
    <t xml:space="preserve">Nilai sebenar hari ini (RM)</t>
  </si>
  <si>
    <t xml:space="preserve">PANDUAN PENGGUNAAN</t>
  </si>
  <si>
    <t xml:space="preserve">LANGKAH 1 — Helaian 'Perancangan': isi umur, modal permulaan, simpanan bulanan, andaian pulangan &amp; inflasi, dan sasaran anda.</t>
  </si>
  <si>
    <t xml:space="preserve">LANGKAH 2 — Helaian 'Portfolio': tetapkan peratus peruntukan setiap kelas aset (mesti berjumlah 100%). Kadar berwajaran boleh disalin ke sel B17 'Perancangan'.</t>
  </si>
  <si>
    <t xml:space="preserve">LANGKAH 3 — Helaian 'Unjuran': lihat pertumbuhan tahun demi tahun serta graf perbandingan nilai nominal dengan nilai sebenar selepas inflasi.</t>
  </si>
  <si>
    <t xml:space="preserve">CARA PENGIRAAN</t>
  </si>
  <si>
    <t xml:space="preserve">Nilai terkumpul menggunakan pengkompaunan bulanan: baki akhir = FV(kadar/12, 12 bulan, simpanan bulanan, baki awal).</t>
  </si>
  <si>
    <t xml:space="preserve">Simpanan bulanan boleh dinaikkan setiap tahun mengikut peratus kenaikan yang diisi (contoh: selari dengan kenaikan gaji).</t>
  </si>
  <si>
    <t xml:space="preserve">Nilai sebenar = nilai nominal dibahagi (1 + inflasi) kuasa bilangan tahun — menunjukkan kuasa beli sebenar wang itu hari ini.</t>
  </si>
  <si>
    <t xml:space="preserve">Simpanan bulanan diperlukan dikira dengan fungsi PMT untuk mencapai sasaran yang telah dilaraskan inflasi.</t>
  </si>
  <si>
    <t xml:space="preserve">TIP PERANCANGAN</t>
  </si>
  <si>
    <t xml:space="preserve">Sediakan dana kecemasan 3-6 bulan perbelanjaan sebelum melabur dalam aset berisiko.</t>
  </si>
  <si>
    <t xml:space="preserve">Selesaikan hutang berfaedah tinggi (kad kredit, pinjaman peribadi) dahulu — kosnya biasanya melebihi pulangan pelaburan.</t>
  </si>
  <si>
    <t xml:space="preserve">Pelbagaikan aset dan laburkan secara berkala (dollar-cost averaging) untuk mengurangkan risiko masa masuk pasaran.</t>
  </si>
  <si>
    <t xml:space="preserve">Semak semula pelan ini sekurang-kurangnya setahun sekali atau apabila berlaku perubahan besar (kenaikan gaji, kelahiran anak, beli rumah).</t>
  </si>
  <si>
    <t xml:space="preserve">Kurangkan peruntukan aset berisiko tinggi apabila menghampiri umur sasaran.</t>
  </si>
  <si>
    <t xml:space="preserve">PENAFIAN</t>
  </si>
  <si>
    <t xml:space="preserve">Template ini adalah alat perancangan peribadi dan BUKAN nasihat pelaburan. Pulangan lepas tidak menjamin pulangan masa depan. Rujuk perancang kewangan berlesen (Financial Planner bertauliah / berlesen SC) untuk nasihat khusus.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</si>
</sst>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;\(#,##0\);\-"/>
    <numFmt numFmtId="167" formatCode="0.0%;\(0.0%\);\-"/>
    <numFmt numFmtId="168" formatCode="#,##0.00;\(#,##0.00\);\-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2"/>
      <color rgb="FF1F3864"/>
      <name val="Arial"/>
      <family val="0"/>
      <charset val="1"/>
    </font>
    <font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FFFFFF"/>
      </patternFill>
    </fill>
    <fill>
      <patternFill patternType="solid">
        <fgColor rgb="FFFFF2A8"/>
        <bgColor rgb="FFF2F2F2"/>
      </patternFill>
    </fill>
    <fill>
      <patternFill patternType="solid">
        <fgColor rgb="FFC6E0B4"/>
        <bgColor rgb="FFD9D9D9"/>
      </patternFill>
    </fill>
    <fill>
      <patternFill patternType="solid">
        <fgColor rgb="FFD9E2F3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9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78787"/>
      <rgbColor rgb="FF9999FF"/>
      <rgbColor rgb="FFBE4B48"/>
      <rgbColor rgb="FFF2F2F2"/>
      <rgbColor rgb="FFD9E2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7EBB"/>
      <rgbColor rgb="FFA6A6A6"/>
      <rgbColor rgb="FF1F3864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Pertumbuhan Nilai Pelaburan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Unjuran!G6</c:f>
              <c:strCache>
                <c:ptCount val="1"/>
                <c:pt idx="0">
                  <c:v>Baki akhir (RM)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Unjuran!$A$7:$A$51</c:f>
              <c:strCache>
                <c:ptCount val="4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</c:strCache>
            </c:strRef>
          </c:cat>
          <c:val>
            <c:numRef>
              <c:f>Unjuran!$G$7:$G$51</c:f>
              <c:numCache>
                <c:formatCode>#,##0;\(#,##0\);\-</c:formatCode>
                <c:ptCount val="45"/>
                <c:pt idx="0">
                  <c:v>33569.1186101896</c:v>
                </c:pt>
                <c:pt idx="1">
                  <c:v>48591.9288838306</c:v>
                </c:pt>
                <c:pt idx="2">
                  <c:v>65188.9302477824</c:v>
                </c:pt>
                <c:pt idx="3">
                  <c:v>83489.596215181</c:v>
                </c:pt>
                <c:pt idx="4">
                  <c:v>103633.004984708</c:v>
                </c:pt>
                <c:pt idx="5">
                  <c:v>125768.512788708</c:v>
                </c:pt>
                <c:pt idx="6">
                  <c:v>150056.472819549</c:v>
                </c:pt>
                <c:pt idx="7">
                  <c:v>176669.002747773</c:v>
                </c:pt>
                <c:pt idx="8">
                  <c:v>205790.804041578</c:v>
                </c:pt>
                <c:pt idx="9">
                  <c:v>237620.036505741</c:v>
                </c:pt>
                <c:pt idx="10">
                  <c:v>272369.251680071</c:v>
                </c:pt>
                <c:pt idx="11">
                  <c:v>310266.388973738</c:v>
                </c:pt>
                <c:pt idx="12">
                  <c:v>351555.83866315</c:v>
                </c:pt>
                <c:pt idx="13">
                  <c:v>396499.576148614</c:v>
                </c:pt>
                <c:pt idx="14">
                  <c:v>445378.372149622</c:v>
                </c:pt>
                <c:pt idx="15">
                  <c:v>498493.08382149</c:v>
                </c:pt>
                <c:pt idx="16">
                  <c:v>556166.032098389</c:v>
                </c:pt>
                <c:pt idx="17">
                  <c:v>618742.470910641</c:v>
                </c:pt>
                <c:pt idx="18">
                  <c:v>686592.154289058</c:v>
                </c:pt>
                <c:pt idx="19">
                  <c:v>760111.007757207</c:v>
                </c:pt>
                <c:pt idx="20">
                  <c:v>839722.910825471</c:v>
                </c:pt>
                <c:pt idx="21">
                  <c:v>925881.597840137</c:v>
                </c:pt>
                <c:pt idx="22">
                  <c:v>1019072.68490811</c:v>
                </c:pt>
                <c:pt idx="23">
                  <c:v>1119815.83111509</c:v>
                </c:pt>
                <c:pt idx="24">
                  <c:v>1228667.04278401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Unjuran!H6</c:f>
              <c:strCache>
                <c:ptCount val="1"/>
                <c:pt idx="0">
                  <c:v>Nilai sebenar hari ini (RM)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Unjuran!$A$7:$A$51</c:f>
              <c:strCache>
                <c:ptCount val="4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</c:strCache>
            </c:strRef>
          </c:cat>
          <c:val>
            <c:numRef>
              <c:f>Unjuran!$H$7:$H$51</c:f>
              <c:numCache>
                <c:formatCode>#,##0;\(#,##0\);\-</c:formatCode>
                <c:ptCount val="45"/>
                <c:pt idx="0">
                  <c:v>32591.3772914462</c:v>
                </c:pt>
                <c:pt idx="1">
                  <c:v>45802.553382817</c:v>
                </c:pt>
                <c:pt idx="2">
                  <c:v>59657.105798413</c:v>
                </c:pt>
                <c:pt idx="3">
                  <c:v>74179.424872899</c:v>
                </c:pt>
                <c:pt idx="4">
                  <c:v>89394.7404519372</c:v>
                </c:pt>
                <c:pt idx="5">
                  <c:v>105329.14944706</c:v>
                </c:pt>
                <c:pt idx="6">
                  <c:v>122009.6442717</c:v>
                </c:pt>
                <c:pt idx="7">
                  <c:v>139464.142186126</c:v>
                </c:pt>
                <c:pt idx="8">
                  <c:v>157721.515579914</c:v>
                </c:pt>
                <c:pt idx="9">
                  <c:v>176811.623221459</c:v>
                </c:pt>
                <c:pt idx="10">
                  <c:v>196765.342504967</c:v>
                </c:pt>
                <c:pt idx="11">
                  <c:v>217614.602726307</c:v>
                </c:pt>
                <c:pt idx="12">
                  <c:v>239392.419420097</c:v>
                </c:pt>
                <c:pt idx="13">
                  <c:v>262132.929791384</c:v>
                </c:pt>
                <c:pt idx="14">
                  <c:v>285871.429276336</c:v>
                </c:pt>
                <c:pt idx="15">
                  <c:v>310644.409267434</c:v>
                </c:pt>
                <c:pt idx="16">
                  <c:v>336489.596039756</c:v>
                </c:pt>
                <c:pt idx="17">
                  <c:v>363445.990916085</c:v>
                </c:pt>
                <c:pt idx="18">
                  <c:v>391553.911709747</c:v>
                </c:pt>
                <c:pt idx="19">
                  <c:v>420855.035485306</c:v>
                </c:pt>
                <c:pt idx="20">
                  <c:v>451392.442678482</c:v>
                </c:pt>
                <c:pt idx="21">
                  <c:v>483210.662617953</c:v>
                </c:pt>
                <c:pt idx="22">
                  <c:v>516355.720493033</c:v>
                </c:pt>
                <c:pt idx="23">
                  <c:v>550875.185812578</c:v>
                </c:pt>
                <c:pt idx="24">
                  <c:v>586818.222401895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1122467"/>
        <c:axId val="88968789"/>
      </c:lineChart>
      <c:catAx>
        <c:axId val="3112246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Tahun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968789"/>
        <c:crosses val="autoZero"/>
        <c:auto val="1"/>
        <c:lblAlgn val="ctr"/>
        <c:lblOffset val="100"/>
        <c:noMultiLvlLbl val="0"/>
      </c:catAx>
      <c:valAx>
        <c:axId val="8896878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12246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5</xdr:row>
      <xdr:rowOff>0</xdr:rowOff>
    </xdr:from>
    <xdr:to>
      <xdr:col>19</xdr:col>
      <xdr:colOff>364320</xdr:colOff>
      <xdr:row>20</xdr:row>
      <xdr:rowOff>172440</xdr:rowOff>
    </xdr:to>
    <xdr:graphicFrame>
      <xdr:nvGraphicFramePr>
        <xdr:cNvPr id="0" name="Chart 1"/>
        <xdr:cNvGraphicFramePr/>
      </xdr:nvGraphicFramePr>
      <xdr:xfrm>
        <a:off x="9351720" y="1114560"/>
        <a:ext cx="6479280" cy="32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2"/>
    <col collapsed="false" customWidth="true" hidden="false" outlineLevel="0" max="2" min="2" style="1" width="18"/>
    <col collapsed="false" customWidth="true" hidden="false" outlineLevel="0" max="3" min="3" style="1" width="46"/>
    <col collapsed="false" customWidth="true" hidden="false" outlineLevel="0" max="5" min="4" style="1" width="14"/>
  </cols>
  <sheetData>
    <row r="1" customFormat="false" ht="30" hidden="false" customHeight="true" outlineLevel="0" collapsed="false">
      <c r="A1" s="2" t="s">
        <v>0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</v>
      </c>
      <c r="B2" s="3"/>
      <c r="C2" s="3"/>
      <c r="D2" s="3"/>
      <c r="E2" s="3"/>
    </row>
    <row r="3" customFormat="false" ht="25.5" hidden="false" customHeight="true" outlineLevel="0" collapsed="false">
      <c r="A3" s="4" t="s">
        <v>2</v>
      </c>
      <c r="B3" s="4"/>
      <c r="C3" s="4"/>
      <c r="D3" s="4"/>
      <c r="E3" s="4"/>
    </row>
    <row r="5" customFormat="false" ht="19.5" hidden="false" customHeight="true" outlineLevel="0" collapsed="false">
      <c r="A5" s="5" t="s">
        <v>3</v>
      </c>
      <c r="B5" s="5"/>
      <c r="C5" s="5"/>
      <c r="D5" s="5"/>
      <c r="E5" s="5"/>
    </row>
    <row r="6" customFormat="false" ht="15" hidden="false" customHeight="false" outlineLevel="0" collapsed="false">
      <c r="A6" s="6" t="s">
        <v>4</v>
      </c>
      <c r="B6" s="7" t="s">
        <v>5</v>
      </c>
      <c r="C6" s="8" t="s">
        <v>6</v>
      </c>
    </row>
    <row r="7" customFormat="false" ht="15" hidden="false" customHeight="false" outlineLevel="0" collapsed="false">
      <c r="A7" s="6" t="s">
        <v>7</v>
      </c>
      <c r="B7" s="9" t="n">
        <v>35</v>
      </c>
    </row>
    <row r="8" customFormat="false" ht="15" hidden="false" customHeight="false" outlineLevel="0" collapsed="false">
      <c r="A8" s="6" t="s">
        <v>8</v>
      </c>
      <c r="B8" s="9" t="n">
        <v>60</v>
      </c>
    </row>
    <row r="9" customFormat="false" ht="15" hidden="false" customHeight="false" outlineLevel="0" collapsed="false">
      <c r="A9" s="10" t="s">
        <v>9</v>
      </c>
      <c r="B9" s="11" t="n">
        <f aca="false">MAX(0,B8-B7)</f>
        <v>25</v>
      </c>
      <c r="C9" s="8" t="s">
        <v>10</v>
      </c>
    </row>
    <row r="11" customFormat="false" ht="19.5" hidden="false" customHeight="true" outlineLevel="0" collapsed="false">
      <c r="A11" s="5" t="s">
        <v>11</v>
      </c>
      <c r="B11" s="5"/>
      <c r="C11" s="5"/>
      <c r="D11" s="5"/>
      <c r="E11" s="5"/>
    </row>
    <row r="12" customFormat="false" ht="15" hidden="false" customHeight="false" outlineLevel="0" collapsed="false">
      <c r="A12" s="6" t="s">
        <v>12</v>
      </c>
      <c r="B12" s="12" t="n">
        <v>20000</v>
      </c>
      <c r="C12" s="8" t="s">
        <v>13</v>
      </c>
    </row>
    <row r="13" customFormat="false" ht="15" hidden="false" customHeight="false" outlineLevel="0" collapsed="false">
      <c r="A13" s="6" t="s">
        <v>14</v>
      </c>
      <c r="B13" s="12" t="n">
        <v>1000</v>
      </c>
    </row>
    <row r="14" customFormat="false" ht="15" hidden="false" customHeight="false" outlineLevel="0" collapsed="false">
      <c r="A14" s="6" t="s">
        <v>15</v>
      </c>
      <c r="B14" s="13" t="n">
        <v>0.05</v>
      </c>
      <c r="C14" s="8" t="s">
        <v>16</v>
      </c>
    </row>
    <row r="16" customFormat="false" ht="19.5" hidden="false" customHeight="true" outlineLevel="0" collapsed="false">
      <c r="A16" s="5" t="s">
        <v>17</v>
      </c>
      <c r="B16" s="5"/>
      <c r="C16" s="5"/>
      <c r="D16" s="5"/>
      <c r="E16" s="5"/>
    </row>
    <row r="17" customFormat="false" ht="15" hidden="false" customHeight="false" outlineLevel="0" collapsed="false">
      <c r="A17" s="6" t="s">
        <v>18</v>
      </c>
      <c r="B17" s="13" t="n">
        <v>0.06</v>
      </c>
      <c r="C17" s="8" t="s">
        <v>19</v>
      </c>
    </row>
    <row r="18" customFormat="false" ht="15" hidden="false" customHeight="false" outlineLevel="0" collapsed="false">
      <c r="A18" s="6" t="s">
        <v>20</v>
      </c>
      <c r="B18" s="13" t="n">
        <v>0.03</v>
      </c>
      <c r="C18" s="8" t="s">
        <v>21</v>
      </c>
    </row>
    <row r="19" customFormat="false" ht="15" hidden="false" customHeight="false" outlineLevel="0" collapsed="false">
      <c r="A19" s="6" t="s">
        <v>22</v>
      </c>
      <c r="B19" s="14" t="n">
        <f aca="false">Portfolio!D18</f>
        <v>0.05975</v>
      </c>
      <c r="C19" s="8" t="s">
        <v>23</v>
      </c>
    </row>
    <row r="21" customFormat="false" ht="19.5" hidden="false" customHeight="true" outlineLevel="0" collapsed="false">
      <c r="A21" s="5" t="s">
        <v>24</v>
      </c>
      <c r="B21" s="5"/>
      <c r="C21" s="5"/>
      <c r="D21" s="5"/>
      <c r="E21" s="5"/>
    </row>
    <row r="22" customFormat="false" ht="15" hidden="false" customHeight="false" outlineLevel="0" collapsed="false">
      <c r="A22" s="6" t="s">
        <v>25</v>
      </c>
      <c r="B22" s="12" t="n">
        <v>1000000</v>
      </c>
    </row>
    <row r="23" customFormat="false" ht="15" hidden="false" customHeight="false" outlineLevel="0" collapsed="false">
      <c r="A23" s="6" t="s">
        <v>26</v>
      </c>
      <c r="B23" s="15" t="n">
        <f aca="false">B22*(1+B18)^B9</f>
        <v>2093777.92965422</v>
      </c>
      <c r="C23" s="8" t="s">
        <v>27</v>
      </c>
    </row>
    <row r="25" customFormat="false" ht="19.5" hidden="false" customHeight="true" outlineLevel="0" collapsed="false">
      <c r="A25" s="5" t="s">
        <v>28</v>
      </c>
      <c r="B25" s="5"/>
      <c r="C25" s="5"/>
      <c r="D25" s="5"/>
      <c r="E25" s="5"/>
    </row>
    <row r="26" customFormat="false" ht="15" hidden="false" customHeight="false" outlineLevel="0" collapsed="false">
      <c r="A26" s="10" t="s">
        <v>29</v>
      </c>
      <c r="B26" s="16" t="n">
        <f aca="false">IFERROR(INDEX(Unjuran!$G$7:$G$51,MATCH(B9,Unjuran!$A$7:$A$51,0)),B12)</f>
        <v>1228667.04278401</v>
      </c>
    </row>
    <row r="27" customFormat="false" ht="15" hidden="false" customHeight="false" outlineLevel="0" collapsed="false">
      <c r="A27" s="6" t="s">
        <v>30</v>
      </c>
      <c r="B27" s="15" t="n">
        <f aca="false">B12+SUM(Unjuran!E7:E51)</f>
        <v>592725.185815853</v>
      </c>
    </row>
    <row r="28" customFormat="false" ht="15" hidden="false" customHeight="false" outlineLevel="0" collapsed="false">
      <c r="A28" s="6" t="s">
        <v>31</v>
      </c>
      <c r="B28" s="15" t="n">
        <f aca="false">B26-B27</f>
        <v>635941.856968155</v>
      </c>
    </row>
    <row r="29" customFormat="false" ht="15" hidden="false" customHeight="false" outlineLevel="0" collapsed="false">
      <c r="A29" s="6" t="s">
        <v>32</v>
      </c>
      <c r="B29" s="15" t="n">
        <f aca="false">B26/(1+B18)^B9</f>
        <v>586818.222401895</v>
      </c>
    </row>
    <row r="30" customFormat="false" ht="15" hidden="false" customHeight="false" outlineLevel="0" collapsed="false">
      <c r="A30" s="6" t="s">
        <v>33</v>
      </c>
      <c r="B30" s="15" t="n">
        <f aca="false">B23</f>
        <v>2093777.92965422</v>
      </c>
    </row>
    <row r="31" customFormat="false" ht="15" hidden="false" customHeight="false" outlineLevel="0" collapsed="false">
      <c r="A31" s="10" t="s">
        <v>34</v>
      </c>
      <c r="B31" s="17" t="n">
        <f aca="false">B26-B23</f>
        <v>-865110.886870208</v>
      </c>
    </row>
    <row r="32" customFormat="false" ht="15" hidden="false" customHeight="false" outlineLevel="0" collapsed="false">
      <c r="A32" s="6" t="s">
        <v>35</v>
      </c>
      <c r="B32" s="18" t="n">
        <f aca="false">IFERROR(B26/B23,0)</f>
        <v>0.586818222401895</v>
      </c>
    </row>
    <row r="34" customFormat="false" ht="15" hidden="false" customHeight="false" outlineLevel="0" collapsed="false">
      <c r="A34" s="10" t="s">
        <v>36</v>
      </c>
      <c r="B34" s="19" t="n">
        <f aca="false">IF(B9&lt;=0,0,MAX(0,-PMT(B17/12,B9*12,-B12,B23)))</f>
        <v>2892.4906161882</v>
      </c>
      <c r="C34" s="8" t="s">
        <v>37</v>
      </c>
    </row>
    <row r="36" customFormat="false" ht="30" hidden="false" customHeight="true" outlineLevel="0" collapsed="false">
      <c r="A36" s="20" t="str">
        <f aca="false">IF(B9&lt;=0,"SEMAKAN: Umur sasaran mesti lebih besar daripada umur semasa.",IF(B31&gt;=0,"TAHNIAH: Unjuran melebihi sasaran anda sebanyak RM "&amp;TEXT(B31,"#,##0")&amp;".","PERHATIAN: Jurang RM "&amp;TEXT(-B31,"#,##0")&amp;". Naikkan simpanan bulanan kepada RM "&amp;TEXT(B34,"#,##0")&amp;" atau lanjutkan tempoh pelaburan."))</f>
        <v>PERHATIAN: Jurang RM 865,111. Naikkan simpanan bulanan kepada RM 2,892 atau lanjutkan tempoh pelaburan.</v>
      </c>
      <c r="B36" s="20"/>
      <c r="C36" s="20"/>
      <c r="D36" s="20"/>
      <c r="E36" s="20"/>
    </row>
    <row r="38" customFormat="false" ht="15" hidden="false" customHeight="true" outlineLevel="0" collapsed="false">
      <c r="A38" s="21" t="s">
        <v>38</v>
      </c>
      <c r="B38" s="21"/>
      <c r="C38" s="21"/>
      <c r="D38" s="21"/>
      <c r="E38" s="21"/>
    </row>
    <row r="39" customFormat="false" ht="15" hidden="false" customHeight="false" outlineLevel="0" collapsed="false">
      <c r="A39" s="21"/>
      <c r="B39" s="21"/>
      <c r="C39" s="21"/>
      <c r="D39" s="21"/>
      <c r="E39" s="21"/>
    </row>
  </sheetData>
  <mergeCells count="10">
    <mergeCell ref="A1:E1"/>
    <mergeCell ref="A2:E2"/>
    <mergeCell ref="A3:E3"/>
    <mergeCell ref="A5:E5"/>
    <mergeCell ref="A11:E11"/>
    <mergeCell ref="A16:E16"/>
    <mergeCell ref="A21:E21"/>
    <mergeCell ref="A25:E25"/>
    <mergeCell ref="A36:E36"/>
    <mergeCell ref="A38:E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3" min="2" style="1" width="16"/>
    <col collapsed="false" customWidth="true" hidden="false" outlineLevel="0" max="4" min="4" style="1" width="20"/>
    <col collapsed="false" customWidth="true" hidden="false" outlineLevel="0" max="5" min="5" style="1" width="18"/>
    <col collapsed="false" customWidth="true" hidden="false" outlineLevel="0" max="6" min="6" style="1" width="46"/>
  </cols>
  <sheetData>
    <row r="1" customFormat="false" ht="27.75" hidden="false" customHeight="true" outlineLevel="0" collapsed="false">
      <c r="A1" s="2" t="s">
        <v>39</v>
      </c>
      <c r="B1" s="2"/>
      <c r="C1" s="2"/>
      <c r="D1" s="2"/>
      <c r="E1" s="2"/>
      <c r="F1" s="2"/>
    </row>
    <row r="2" customFormat="false" ht="15" hidden="false" customHeight="true" outlineLevel="0" collapsed="false">
      <c r="A2" s="4" t="s">
        <v>40</v>
      </c>
      <c r="B2" s="4"/>
      <c r="C2" s="4"/>
      <c r="D2" s="4"/>
      <c r="E2" s="4"/>
      <c r="F2" s="4"/>
    </row>
    <row r="4" customFormat="false" ht="27.75" hidden="false" customHeight="true" outlineLevel="0" collapsed="false">
      <c r="A4" s="22" t="s">
        <v>41</v>
      </c>
      <c r="B4" s="22" t="s">
        <v>42</v>
      </c>
      <c r="C4" s="22" t="s">
        <v>43</v>
      </c>
      <c r="D4" s="22" t="s">
        <v>44</v>
      </c>
      <c r="E4" s="22" t="s">
        <v>45</v>
      </c>
      <c r="F4" s="22" t="s">
        <v>46</v>
      </c>
    </row>
    <row r="5" customFormat="false" ht="15" hidden="false" customHeight="false" outlineLevel="0" collapsed="false">
      <c r="A5" s="23" t="s">
        <v>47</v>
      </c>
      <c r="B5" s="13" t="n">
        <v>0.1</v>
      </c>
      <c r="C5" s="15" t="n">
        <f aca="false">B5*Perancangan!$B$12</f>
        <v>2000</v>
      </c>
      <c r="D5" s="13" t="n">
        <v>0.03</v>
      </c>
      <c r="E5" s="24" t="s">
        <v>48</v>
      </c>
      <c r="F5" s="25" t="s">
        <v>49</v>
      </c>
    </row>
    <row r="6" customFormat="false" ht="15" hidden="false" customHeight="false" outlineLevel="0" collapsed="false">
      <c r="A6" s="23" t="s">
        <v>50</v>
      </c>
      <c r="B6" s="13" t="n">
        <v>0.25</v>
      </c>
      <c r="C6" s="15" t="n">
        <f aca="false">B6*Perancangan!$B$12</f>
        <v>5000</v>
      </c>
      <c r="D6" s="13" t="n">
        <v>0.055</v>
      </c>
      <c r="E6" s="24" t="s">
        <v>48</v>
      </c>
      <c r="F6" s="25" t="s">
        <v>51</v>
      </c>
    </row>
    <row r="7" customFormat="false" ht="15" hidden="false" customHeight="false" outlineLevel="0" collapsed="false">
      <c r="A7" s="23" t="s">
        <v>52</v>
      </c>
      <c r="B7" s="13" t="n">
        <v>0.05</v>
      </c>
      <c r="C7" s="15" t="n">
        <f aca="false">B7*Perancangan!$B$12</f>
        <v>1000</v>
      </c>
      <c r="D7" s="13" t="n">
        <v>0.03</v>
      </c>
      <c r="E7" s="24" t="s">
        <v>48</v>
      </c>
      <c r="F7" s="25" t="s">
        <v>53</v>
      </c>
    </row>
    <row r="8" customFormat="false" ht="15" hidden="false" customHeight="false" outlineLevel="0" collapsed="false">
      <c r="A8" s="23" t="s">
        <v>54</v>
      </c>
      <c r="B8" s="13" t="n">
        <v>0.1</v>
      </c>
      <c r="C8" s="15" t="n">
        <f aca="false">B8*Perancangan!$B$12</f>
        <v>2000</v>
      </c>
      <c r="D8" s="13" t="n">
        <v>0.04</v>
      </c>
      <c r="E8" s="24" t="s">
        <v>55</v>
      </c>
      <c r="F8" s="25" t="s">
        <v>56</v>
      </c>
    </row>
    <row r="9" customFormat="false" ht="15" hidden="false" customHeight="false" outlineLevel="0" collapsed="false">
      <c r="A9" s="23" t="s">
        <v>57</v>
      </c>
      <c r="B9" s="13" t="n">
        <v>0.2</v>
      </c>
      <c r="C9" s="15" t="n">
        <f aca="false">B9*Perancangan!$B$12</f>
        <v>4000</v>
      </c>
      <c r="D9" s="13" t="n">
        <v>0.07</v>
      </c>
      <c r="E9" s="24" t="s">
        <v>58</v>
      </c>
      <c r="F9" s="25" t="s">
        <v>59</v>
      </c>
    </row>
    <row r="10" customFormat="false" ht="15" hidden="false" customHeight="false" outlineLevel="0" collapsed="false">
      <c r="A10" s="23" t="s">
        <v>60</v>
      </c>
      <c r="B10" s="13" t="n">
        <v>0.2</v>
      </c>
      <c r="C10" s="15" t="n">
        <f aca="false">B10*Perancangan!$B$12</f>
        <v>4000</v>
      </c>
      <c r="D10" s="13" t="n">
        <v>0.09</v>
      </c>
      <c r="E10" s="24" t="s">
        <v>61</v>
      </c>
      <c r="F10" s="25" t="s">
        <v>62</v>
      </c>
    </row>
    <row r="11" customFormat="false" ht="15" hidden="false" customHeight="false" outlineLevel="0" collapsed="false">
      <c r="A11" s="23" t="s">
        <v>63</v>
      </c>
      <c r="B11" s="13" t="n">
        <v>0.05</v>
      </c>
      <c r="C11" s="15" t="n">
        <f aca="false">B11*Perancangan!$B$12</f>
        <v>1000</v>
      </c>
      <c r="D11" s="13" t="n">
        <v>0.05</v>
      </c>
      <c r="E11" s="24" t="s">
        <v>58</v>
      </c>
      <c r="F11" s="25" t="s">
        <v>64</v>
      </c>
    </row>
    <row r="12" customFormat="false" ht="15" hidden="false" customHeight="false" outlineLevel="0" collapsed="false">
      <c r="A12" s="23" t="s">
        <v>65</v>
      </c>
      <c r="B12" s="13" t="n">
        <v>0.05</v>
      </c>
      <c r="C12" s="15" t="n">
        <f aca="false">B12*Perancangan!$B$12</f>
        <v>1000</v>
      </c>
      <c r="D12" s="13" t="n">
        <v>0.06</v>
      </c>
      <c r="E12" s="24" t="s">
        <v>58</v>
      </c>
      <c r="F12" s="25" t="s">
        <v>66</v>
      </c>
    </row>
    <row r="13" customFormat="false" ht="15" hidden="false" customHeight="false" outlineLevel="0" collapsed="false">
      <c r="A13" s="26" t="s">
        <v>67</v>
      </c>
      <c r="B13" s="27" t="n">
        <f aca="false">SUM(B5:B12)</f>
        <v>1</v>
      </c>
      <c r="C13" s="17" t="n">
        <f aca="false">SUM(C5:C12)</f>
        <v>20000</v>
      </c>
      <c r="D13" s="28"/>
      <c r="E13" s="28"/>
      <c r="F13" s="28"/>
    </row>
    <row r="15" customFormat="false" ht="15" hidden="false" customHeight="false" outlineLevel="0" collapsed="false">
      <c r="A15" s="29" t="str">
        <f aca="false">IF(ROUND(B13,4)=1,"SEMAKAN: OK — jumlah peruntukan = 100%.","SEMAKAN: Jumlah peruntukan ialah "&amp;TEXT(B13,"0.0%")&amp;" — laraskan supaya menjadi 100%.")</f>
        <v>SEMAKAN: OK — jumlah peruntukan = 100%.</v>
      </c>
      <c r="B15" s="29"/>
      <c r="C15" s="29"/>
      <c r="D15" s="29"/>
      <c r="E15" s="29"/>
      <c r="F15" s="29"/>
    </row>
    <row r="17" customFormat="false" ht="15" hidden="false" customHeight="false" outlineLevel="0" collapsed="false">
      <c r="A17" s="30" t="s">
        <v>68</v>
      </c>
      <c r="D17" s="31" t="s">
        <v>69</v>
      </c>
    </row>
    <row r="18" customFormat="false" ht="15" hidden="false" customHeight="false" outlineLevel="0" collapsed="false">
      <c r="A18" s="32" t="s">
        <v>70</v>
      </c>
      <c r="D18" s="33" t="n">
        <f aca="false">IFERROR(SUMPRODUCT(B5:B12,D5:D12)/B13,0)</f>
        <v>0.05975</v>
      </c>
    </row>
    <row r="20" customFormat="false" ht="15" hidden="false" customHeight="true" outlineLevel="0" collapsed="false">
      <c r="A20" s="21" t="s">
        <v>71</v>
      </c>
      <c r="B20" s="21"/>
      <c r="C20" s="21"/>
      <c r="D20" s="21"/>
      <c r="E20" s="21"/>
      <c r="F20" s="21"/>
    </row>
    <row r="21" customFormat="false" ht="15" hidden="false" customHeight="false" outlineLevel="0" collapsed="false">
      <c r="A21" s="21"/>
      <c r="B21" s="21"/>
      <c r="C21" s="21"/>
      <c r="D21" s="21"/>
      <c r="E21" s="21"/>
      <c r="F21" s="21"/>
    </row>
  </sheetData>
  <mergeCells count="4">
    <mergeCell ref="A1:F1"/>
    <mergeCell ref="A2:F2"/>
    <mergeCell ref="A15:F15"/>
    <mergeCell ref="A20:F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9"/>
    <col collapsed="false" customWidth="true" hidden="false" outlineLevel="0" max="3" min="3" style="1" width="16"/>
    <col collapsed="false" customWidth="true" hidden="false" outlineLevel="0" max="6" min="4" style="1" width="18"/>
    <col collapsed="false" customWidth="true" hidden="false" outlineLevel="0" max="7" min="7" style="1" width="16"/>
    <col collapsed="false" customWidth="true" hidden="false" outlineLevel="0" max="8" min="8" style="1" width="20"/>
  </cols>
  <sheetData>
    <row r="1" customFormat="false" ht="27.75" hidden="false" customHeight="true" outlineLevel="0" collapsed="false">
      <c r="A1" s="2" t="s">
        <v>72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34" t="s">
        <v>73</v>
      </c>
      <c r="B2" s="34"/>
      <c r="C2" s="34"/>
      <c r="D2" s="34"/>
      <c r="E2" s="34"/>
      <c r="F2" s="34"/>
      <c r="G2" s="34"/>
      <c r="H2" s="34"/>
    </row>
    <row r="6" customFormat="false" ht="31.5" hidden="false" customHeight="true" outlineLevel="0" collapsed="false">
      <c r="A6" s="22" t="s">
        <v>74</v>
      </c>
      <c r="B6" s="22" t="s">
        <v>75</v>
      </c>
      <c r="C6" s="22" t="s">
        <v>76</v>
      </c>
      <c r="D6" s="22" t="s">
        <v>14</v>
      </c>
      <c r="E6" s="22" t="s">
        <v>77</v>
      </c>
      <c r="F6" s="22" t="s">
        <v>78</v>
      </c>
      <c r="G6" s="22" t="s">
        <v>79</v>
      </c>
      <c r="H6" s="22" t="s">
        <v>80</v>
      </c>
    </row>
    <row r="7" customFormat="false" ht="15" hidden="false" customHeight="false" outlineLevel="0" collapsed="false">
      <c r="A7" s="35" t="n">
        <f aca="false">IF(1&gt;Perancangan!$B$9,"",1)</f>
        <v>1</v>
      </c>
      <c r="B7" s="35" t="n">
        <f aca="false">IF($A7="","",Perancangan!$B$7+$A7)</f>
        <v>36</v>
      </c>
      <c r="C7" s="15" t="n">
        <f aca="false">IF($A7="","",Perancangan!$B$12)</f>
        <v>20000</v>
      </c>
      <c r="D7" s="36" t="n">
        <f aca="false">IF($A7="","",Perancangan!$B$13*(1+Perancangan!$B$14)^($A7-1))</f>
        <v>1000</v>
      </c>
      <c r="E7" s="15" t="n">
        <f aca="false">IF($A7="","",D7*12)</f>
        <v>12000</v>
      </c>
      <c r="F7" s="15" t="n">
        <f aca="false">IF($A7="","",G7-C7-E7)</f>
        <v>1569.11861018962</v>
      </c>
      <c r="G7" s="15" t="n">
        <f aca="false">IF($A7="","",FV(Perancangan!$B$17/12,12,-D7,-C7))</f>
        <v>33569.1186101896</v>
      </c>
      <c r="H7" s="15" t="n">
        <f aca="false">IF($A7="","",G7/(1+Perancangan!$B$18)^$A7)</f>
        <v>32591.3772914462</v>
      </c>
    </row>
    <row r="8" customFormat="false" ht="15" hidden="false" customHeight="false" outlineLevel="0" collapsed="false">
      <c r="A8" s="35" t="n">
        <f aca="false">IF(2&gt;Perancangan!$B$9,"",2)</f>
        <v>2</v>
      </c>
      <c r="B8" s="35" t="n">
        <f aca="false">IF($A8="","",Perancangan!$B$7+$A8)</f>
        <v>37</v>
      </c>
      <c r="C8" s="15" t="n">
        <f aca="false">IF($A8="","",G7)</f>
        <v>33569.1186101896</v>
      </c>
      <c r="D8" s="36" t="n">
        <f aca="false">IF($A8="","",Perancangan!$B$13*(1+Perancangan!$B$14)^($A8-1))</f>
        <v>1050</v>
      </c>
      <c r="E8" s="15" t="n">
        <f aca="false">IF($A8="","",D8*12)</f>
        <v>12600</v>
      </c>
      <c r="F8" s="15" t="n">
        <f aca="false">IF($A8="","",G8-C8-E8)</f>
        <v>2422.81027364094</v>
      </c>
      <c r="G8" s="15" t="n">
        <f aca="false">IF($A8="","",FV(Perancangan!$B$17/12,12,-D8,-C8))</f>
        <v>48591.9288838306</v>
      </c>
      <c r="H8" s="15" t="n">
        <f aca="false">IF($A8="","",G8/(1+Perancangan!$B$18)^$A8)</f>
        <v>45802.553382817</v>
      </c>
    </row>
    <row r="9" customFormat="false" ht="15" hidden="false" customHeight="false" outlineLevel="0" collapsed="false">
      <c r="A9" s="35" t="n">
        <f aca="false">IF(3&gt;Perancangan!$B$9,"",3)</f>
        <v>3</v>
      </c>
      <c r="B9" s="35" t="n">
        <f aca="false">IF($A9="","",Perancangan!$B$7+$A9)</f>
        <v>38</v>
      </c>
      <c r="C9" s="15" t="n">
        <f aca="false">IF($A9="","",G8)</f>
        <v>48591.9288838306</v>
      </c>
      <c r="D9" s="36" t="n">
        <f aca="false">IF($A9="","",Perancangan!$B$13*(1+Perancangan!$B$14)^($A9-1))</f>
        <v>1102.5</v>
      </c>
      <c r="E9" s="15" t="n">
        <f aca="false">IF($A9="","",D9*12)</f>
        <v>13230</v>
      </c>
      <c r="F9" s="15" t="n">
        <f aca="false">IF($A9="","",G9-C9-E9)</f>
        <v>3367.00136395185</v>
      </c>
      <c r="G9" s="15" t="n">
        <f aca="false">IF($A9="","",FV(Perancangan!$B$17/12,12,-D9,-C9))</f>
        <v>65188.9302477824</v>
      </c>
      <c r="H9" s="15" t="n">
        <f aca="false">IF($A9="","",G9/(1+Perancangan!$B$18)^$A9)</f>
        <v>59657.105798413</v>
      </c>
    </row>
    <row r="10" customFormat="false" ht="15" hidden="false" customHeight="false" outlineLevel="0" collapsed="false">
      <c r="A10" s="35" t="n">
        <f aca="false">IF(4&gt;Perancangan!$B$9,"",4)</f>
        <v>4</v>
      </c>
      <c r="B10" s="35" t="n">
        <f aca="false">IF($A10="","",Perancangan!$B$7+$A10)</f>
        <v>39</v>
      </c>
      <c r="C10" s="15" t="n">
        <f aca="false">IF($A10="","",G9)</f>
        <v>65188.9302477824</v>
      </c>
      <c r="D10" s="36" t="n">
        <f aca="false">IF($A10="","",Perancangan!$B$13*(1+Perancangan!$B$14)^($A10-1))</f>
        <v>1157.625</v>
      </c>
      <c r="E10" s="15" t="n">
        <f aca="false">IF($A10="","",D10*12)</f>
        <v>13891.5</v>
      </c>
      <c r="F10" s="15" t="n">
        <f aca="false">IF($A10="","",G10-C10-E10)</f>
        <v>4409.16596739859</v>
      </c>
      <c r="G10" s="15" t="n">
        <f aca="false">IF($A10="","",FV(Perancangan!$B$17/12,12,-D10,-C10))</f>
        <v>83489.596215181</v>
      </c>
      <c r="H10" s="15" t="n">
        <f aca="false">IF($A10="","",G10/(1+Perancangan!$B$18)^$A10)</f>
        <v>74179.424872899</v>
      </c>
    </row>
    <row r="11" customFormat="false" ht="15" hidden="false" customHeight="false" outlineLevel="0" collapsed="false">
      <c r="A11" s="35" t="n">
        <f aca="false">IF(5&gt;Perancangan!$B$9,"",5)</f>
        <v>5</v>
      </c>
      <c r="B11" s="35" t="n">
        <f aca="false">IF($A11="","",Perancangan!$B$7+$A11)</f>
        <v>40</v>
      </c>
      <c r="C11" s="15" t="n">
        <f aca="false">IF($A11="","",G10)</f>
        <v>83489.596215181</v>
      </c>
      <c r="D11" s="36" t="n">
        <f aca="false">IF($A11="","",Perancangan!$B$13*(1+Perancangan!$B$14)^($A11-1))</f>
        <v>1215.50625</v>
      </c>
      <c r="E11" s="15" t="n">
        <f aca="false">IF($A11="","",D11*12)</f>
        <v>14586.075</v>
      </c>
      <c r="F11" s="15" t="n">
        <f aca="false">IF($A11="","",G11-C11-E11)</f>
        <v>5557.33376952722</v>
      </c>
      <c r="G11" s="15" t="n">
        <f aca="false">IF($A11="","",FV(Perancangan!$B$17/12,12,-D11,-C11))</f>
        <v>103633.004984708</v>
      </c>
      <c r="H11" s="15" t="n">
        <f aca="false">IF($A11="","",G11/(1+Perancangan!$B$18)^$A11)</f>
        <v>89394.7404519372</v>
      </c>
    </row>
    <row r="12" customFormat="false" ht="15" hidden="false" customHeight="false" outlineLevel="0" collapsed="false">
      <c r="A12" s="35" t="n">
        <f aca="false">IF(6&gt;Perancangan!$B$9,"",6)</f>
        <v>6</v>
      </c>
      <c r="B12" s="35" t="n">
        <f aca="false">IF($A12="","",Perancangan!$B$7+$A12)</f>
        <v>41</v>
      </c>
      <c r="C12" s="15" t="n">
        <f aca="false">IF($A12="","",G11)</f>
        <v>103633.004984708</v>
      </c>
      <c r="D12" s="36" t="n">
        <f aca="false">IF($A12="","",Perancangan!$B$13*(1+Perancangan!$B$14)^($A12-1))</f>
        <v>1276.2815625</v>
      </c>
      <c r="E12" s="15" t="n">
        <f aca="false">IF($A12="","",D12*12)</f>
        <v>15315.37875</v>
      </c>
      <c r="F12" s="15" t="n">
        <f aca="false">IF($A12="","",G12-C12-E12)</f>
        <v>6820.12905400003</v>
      </c>
      <c r="G12" s="15" t="n">
        <f aca="false">IF($A12="","",FV(Perancangan!$B$17/12,12,-D12,-C12))</f>
        <v>125768.512788708</v>
      </c>
      <c r="H12" s="15" t="n">
        <f aca="false">IF($A12="","",G12/(1+Perancangan!$B$18)^$A12)</f>
        <v>105329.14944706</v>
      </c>
    </row>
    <row r="13" customFormat="false" ht="15" hidden="false" customHeight="false" outlineLevel="0" collapsed="false">
      <c r="A13" s="35" t="n">
        <f aca="false">IF(7&gt;Perancangan!$B$9,"",7)</f>
        <v>7</v>
      </c>
      <c r="B13" s="35" t="n">
        <f aca="false">IF($A13="","",Perancangan!$B$7+$A13)</f>
        <v>42</v>
      </c>
      <c r="C13" s="15" t="n">
        <f aca="false">IF($A13="","",G12)</f>
        <v>125768.512788708</v>
      </c>
      <c r="D13" s="36" t="n">
        <f aca="false">IF($A13="","",Perancangan!$B$13*(1+Perancangan!$B$14)^($A13-1))</f>
        <v>1340.095640625</v>
      </c>
      <c r="E13" s="15" t="n">
        <f aca="false">IF($A13="","",D13*12)</f>
        <v>16081.1476875</v>
      </c>
      <c r="F13" s="15" t="n">
        <f aca="false">IF($A13="","",G13-C13-E13)</f>
        <v>8206.8123433403</v>
      </c>
      <c r="G13" s="15" t="n">
        <f aca="false">IF($A13="","",FV(Perancangan!$B$17/12,12,-D13,-C13))</f>
        <v>150056.472819549</v>
      </c>
      <c r="H13" s="15" t="n">
        <f aca="false">IF($A13="","",G13/(1+Perancangan!$B$18)^$A13)</f>
        <v>122009.6442717</v>
      </c>
    </row>
    <row r="14" customFormat="false" ht="15" hidden="false" customHeight="false" outlineLevel="0" collapsed="false">
      <c r="A14" s="35" t="n">
        <f aca="false">IF(8&gt;Perancangan!$B$9,"",8)</f>
        <v>8</v>
      </c>
      <c r="B14" s="35" t="n">
        <f aca="false">IF($A14="","",Perancangan!$B$7+$A14)</f>
        <v>43</v>
      </c>
      <c r="C14" s="15" t="n">
        <f aca="false">IF($A14="","",G13)</f>
        <v>150056.472819549</v>
      </c>
      <c r="D14" s="36" t="n">
        <f aca="false">IF($A14="","",Perancangan!$B$13*(1+Perancangan!$B$14)^($A14-1))</f>
        <v>1407.10042265625</v>
      </c>
      <c r="E14" s="15" t="n">
        <f aca="false">IF($A14="","",D14*12)</f>
        <v>16885.205071875</v>
      </c>
      <c r="F14" s="15" t="n">
        <f aca="false">IF($A14="","",G14-C14-E14)</f>
        <v>9727.32485634895</v>
      </c>
      <c r="G14" s="15" t="n">
        <f aca="false">IF($A14="","",FV(Perancangan!$B$17/12,12,-D14,-C14))</f>
        <v>176669.002747773</v>
      </c>
      <c r="H14" s="15" t="n">
        <f aca="false">IF($A14="","",G14/(1+Perancangan!$B$18)^$A14)</f>
        <v>139464.142186126</v>
      </c>
    </row>
    <row r="15" customFormat="false" ht="15" hidden="false" customHeight="false" outlineLevel="0" collapsed="false">
      <c r="A15" s="35" t="n">
        <f aca="false">IF(9&gt;Perancangan!$B$9,"",9)</f>
        <v>9</v>
      </c>
      <c r="B15" s="35" t="n">
        <f aca="false">IF($A15="","",Perancangan!$B$7+$A15)</f>
        <v>44</v>
      </c>
      <c r="C15" s="15" t="n">
        <f aca="false">IF($A15="","",G14)</f>
        <v>176669.002747773</v>
      </c>
      <c r="D15" s="36" t="n">
        <f aca="false">IF($A15="","",Perancangan!$B$13*(1+Perancangan!$B$14)^($A15-1))</f>
        <v>1477.45544378906</v>
      </c>
      <c r="E15" s="15" t="n">
        <f aca="false">IF($A15="","",D15*12)</f>
        <v>17729.4653254688</v>
      </c>
      <c r="F15" s="15" t="n">
        <f aca="false">IF($A15="","",G15-C15-E15)</f>
        <v>11392.335968337</v>
      </c>
      <c r="G15" s="15" t="n">
        <f aca="false">IF($A15="","",FV(Perancangan!$B$17/12,12,-D15,-C15))</f>
        <v>205790.804041578</v>
      </c>
      <c r="H15" s="15" t="n">
        <f aca="false">IF($A15="","",G15/(1+Perancangan!$B$18)^$A15)</f>
        <v>157721.515579914</v>
      </c>
    </row>
    <row r="16" customFormat="false" ht="15" hidden="false" customHeight="false" outlineLevel="0" collapsed="false">
      <c r="A16" s="35" t="n">
        <f aca="false">IF(10&gt;Perancangan!$B$9,"",10)</f>
        <v>10</v>
      </c>
      <c r="B16" s="35" t="n">
        <f aca="false">IF($A16="","",Perancangan!$B$7+$A16)</f>
        <v>45</v>
      </c>
      <c r="C16" s="15" t="n">
        <f aca="false">IF($A16="","",G15)</f>
        <v>205790.804041578</v>
      </c>
      <c r="D16" s="36" t="n">
        <f aca="false">IF($A16="","",Perancangan!$B$13*(1+Perancangan!$B$14)^($A16-1))</f>
        <v>1551.32821597852</v>
      </c>
      <c r="E16" s="15" t="n">
        <f aca="false">IF($A16="","",D16*12)</f>
        <v>18615.9385917422</v>
      </c>
      <c r="F16" s="15" t="n">
        <f aca="false">IF($A16="","",G16-C16-E16)</f>
        <v>13213.2938724202</v>
      </c>
      <c r="G16" s="15" t="n">
        <f aca="false">IF($A16="","",FV(Perancangan!$B$17/12,12,-D16,-C16))</f>
        <v>237620.036505741</v>
      </c>
      <c r="H16" s="15" t="n">
        <f aca="false">IF($A16="","",G16/(1+Perancangan!$B$18)^$A16)</f>
        <v>176811.623221459</v>
      </c>
    </row>
    <row r="17" customFormat="false" ht="15" hidden="false" customHeight="false" outlineLevel="0" collapsed="false">
      <c r="A17" s="35" t="n">
        <f aca="false">IF(11&gt;Perancangan!$B$9,"",11)</f>
        <v>11</v>
      </c>
      <c r="B17" s="35" t="n">
        <f aca="false">IF($A17="","",Perancangan!$B$7+$A17)</f>
        <v>46</v>
      </c>
      <c r="C17" s="15" t="n">
        <f aca="false">IF($A17="","",G16)</f>
        <v>237620.036505741</v>
      </c>
      <c r="D17" s="36" t="n">
        <f aca="false">IF($A17="","",Perancangan!$B$13*(1+Perancangan!$B$14)^($A17-1))</f>
        <v>1628.89462677744</v>
      </c>
      <c r="E17" s="15" t="n">
        <f aca="false">IF($A17="","",D17*12)</f>
        <v>19546.7355213293</v>
      </c>
      <c r="F17" s="15" t="n">
        <f aca="false">IF($A17="","",G17-C17-E17)</f>
        <v>15202.4796530012</v>
      </c>
      <c r="G17" s="15" t="n">
        <f aca="false">IF($A17="","",FV(Perancangan!$B$17/12,12,-D17,-C17))</f>
        <v>272369.251680071</v>
      </c>
      <c r="H17" s="15" t="n">
        <f aca="false">IF($A17="","",G17/(1+Perancangan!$B$18)^$A17)</f>
        <v>196765.342504967</v>
      </c>
    </row>
    <row r="18" customFormat="false" ht="15" hidden="false" customHeight="false" outlineLevel="0" collapsed="false">
      <c r="A18" s="35" t="n">
        <f aca="false">IF(12&gt;Perancangan!$B$9,"",12)</f>
        <v>12</v>
      </c>
      <c r="B18" s="35" t="n">
        <f aca="false">IF($A18="","",Perancangan!$B$7+$A18)</f>
        <v>47</v>
      </c>
      <c r="C18" s="15" t="n">
        <f aca="false">IF($A18="","",G17)</f>
        <v>272369.251680071</v>
      </c>
      <c r="D18" s="36" t="n">
        <f aca="false">IF($A18="","",Perancangan!$B$13*(1+Perancangan!$B$14)^($A18-1))</f>
        <v>1710.33935811631</v>
      </c>
      <c r="E18" s="15" t="n">
        <f aca="false">IF($A18="","",D18*12)</f>
        <v>20524.0722973958</v>
      </c>
      <c r="F18" s="15" t="n">
        <f aca="false">IF($A18="","",G18-C18-E18)</f>
        <v>17373.0649962708</v>
      </c>
      <c r="G18" s="15" t="n">
        <f aca="false">IF($A18="","",FV(Perancangan!$B$17/12,12,-D18,-C18))</f>
        <v>310266.388973738</v>
      </c>
      <c r="H18" s="15" t="n">
        <f aca="false">IF($A18="","",G18/(1+Perancangan!$B$18)^$A18)</f>
        <v>217614.602726307</v>
      </c>
    </row>
    <row r="19" customFormat="false" ht="15" hidden="false" customHeight="false" outlineLevel="0" collapsed="false">
      <c r="A19" s="35" t="n">
        <f aca="false">IF(13&gt;Perancangan!$B$9,"",13)</f>
        <v>13</v>
      </c>
      <c r="B19" s="35" t="n">
        <f aca="false">IF($A19="","",Perancangan!$B$7+$A19)</f>
        <v>48</v>
      </c>
      <c r="C19" s="15" t="n">
        <f aca="false">IF($A19="","",G18)</f>
        <v>310266.388973738</v>
      </c>
      <c r="D19" s="36" t="n">
        <f aca="false">IF($A19="","",Perancangan!$B$13*(1+Perancangan!$B$14)^($A19-1))</f>
        <v>1795.85632602213</v>
      </c>
      <c r="E19" s="15" t="n">
        <f aca="false">IF($A19="","",D19*12)</f>
        <v>21550.2759122656</v>
      </c>
      <c r="F19" s="15" t="n">
        <f aca="false">IF($A19="","",G19-C19-E19)</f>
        <v>19739.1737771463</v>
      </c>
      <c r="G19" s="15" t="n">
        <f aca="false">IF($A19="","",FV(Perancangan!$B$17/12,12,-D19,-C19))</f>
        <v>351555.83866315</v>
      </c>
      <c r="H19" s="15" t="n">
        <f aca="false">IF($A19="","",G19/(1+Perancangan!$B$18)^$A19)</f>
        <v>239392.419420097</v>
      </c>
    </row>
    <row r="20" customFormat="false" ht="15" hidden="false" customHeight="false" outlineLevel="0" collapsed="false">
      <c r="A20" s="35" t="n">
        <f aca="false">IF(14&gt;Perancangan!$B$9,"",14)</f>
        <v>14</v>
      </c>
      <c r="B20" s="35" t="n">
        <f aca="false">IF($A20="","",Perancangan!$B$7+$A20)</f>
        <v>49</v>
      </c>
      <c r="C20" s="15" t="n">
        <f aca="false">IF($A20="","",G19)</f>
        <v>351555.83866315</v>
      </c>
      <c r="D20" s="36" t="n">
        <f aca="false">IF($A20="","",Perancangan!$B$13*(1+Perancangan!$B$14)^($A20-1))</f>
        <v>1885.64914232324</v>
      </c>
      <c r="E20" s="15" t="n">
        <f aca="false">IF($A20="","",D20*12)</f>
        <v>22627.7897078788</v>
      </c>
      <c r="F20" s="15" t="n">
        <f aca="false">IF($A20="","",G20-C20-E20)</f>
        <v>22315.9477775858</v>
      </c>
      <c r="G20" s="15" t="n">
        <f aca="false">IF($A20="","",FV(Perancangan!$B$17/12,12,-D20,-C20))</f>
        <v>396499.576148614</v>
      </c>
      <c r="H20" s="15" t="n">
        <f aca="false">IF($A20="","",G20/(1+Perancangan!$B$18)^$A20)</f>
        <v>262132.929791384</v>
      </c>
    </row>
    <row r="21" customFormat="false" ht="15" hidden="false" customHeight="false" outlineLevel="0" collapsed="false">
      <c r="A21" s="35" t="n">
        <f aca="false">IF(15&gt;Perancangan!$B$9,"",15)</f>
        <v>15</v>
      </c>
      <c r="B21" s="35" t="n">
        <f aca="false">IF($A21="","",Perancangan!$B$7+$A21)</f>
        <v>50</v>
      </c>
      <c r="C21" s="15" t="n">
        <f aca="false">IF($A21="","",G20)</f>
        <v>396499.576148614</v>
      </c>
      <c r="D21" s="36" t="n">
        <f aca="false">IF($A21="","",Perancangan!$B$13*(1+Perancangan!$B$14)^($A21-1))</f>
        <v>1979.9315994394</v>
      </c>
      <c r="E21" s="15" t="n">
        <f aca="false">IF($A21="","",D21*12)</f>
        <v>23759.1791932728</v>
      </c>
      <c r="F21" s="15" t="n">
        <f aca="false">IF($A21="","",G21-C21-E21)</f>
        <v>25119.6168077344</v>
      </c>
      <c r="G21" s="15" t="n">
        <f aca="false">IF($A21="","",FV(Perancangan!$B$17/12,12,-D21,-C21))</f>
        <v>445378.372149622</v>
      </c>
      <c r="H21" s="15" t="n">
        <f aca="false">IF($A21="","",G21/(1+Perancangan!$B$18)^$A21)</f>
        <v>285871.429276336</v>
      </c>
    </row>
    <row r="22" customFormat="false" ht="15" hidden="false" customHeight="false" outlineLevel="0" collapsed="false">
      <c r="A22" s="35" t="n">
        <f aca="false">IF(16&gt;Perancangan!$B$9,"",16)</f>
        <v>16</v>
      </c>
      <c r="B22" s="35" t="n">
        <f aca="false">IF($A22="","",Perancangan!$B$7+$A22)</f>
        <v>51</v>
      </c>
      <c r="C22" s="15" t="n">
        <f aca="false">IF($A22="","",G21)</f>
        <v>445378.372149622</v>
      </c>
      <c r="D22" s="36" t="n">
        <f aca="false">IF($A22="","",Perancangan!$B$13*(1+Perancangan!$B$14)^($A22-1))</f>
        <v>2078.92817941137</v>
      </c>
      <c r="E22" s="15" t="n">
        <f aca="false">IF($A22="","",D22*12)</f>
        <v>24947.1381529364</v>
      </c>
      <c r="F22" s="15" t="n">
        <f aca="false">IF($A22="","",G22-C22-E22)</f>
        <v>28167.5735189321</v>
      </c>
      <c r="G22" s="15" t="n">
        <f aca="false">IF($A22="","",FV(Perancangan!$B$17/12,12,-D22,-C22))</f>
        <v>498493.08382149</v>
      </c>
      <c r="H22" s="15" t="n">
        <f aca="false">IF($A22="","",G22/(1+Perancangan!$B$18)^$A22)</f>
        <v>310644.409267434</v>
      </c>
    </row>
    <row r="23" customFormat="false" ht="15" hidden="false" customHeight="false" outlineLevel="0" collapsed="false">
      <c r="A23" s="35" t="n">
        <f aca="false">IF(17&gt;Perancangan!$B$9,"",17)</f>
        <v>17</v>
      </c>
      <c r="B23" s="35" t="n">
        <f aca="false">IF($A23="","",Perancangan!$B$7+$A23)</f>
        <v>52</v>
      </c>
      <c r="C23" s="15" t="n">
        <f aca="false">IF($A23="","",G22)</f>
        <v>498493.08382149</v>
      </c>
      <c r="D23" s="36" t="n">
        <f aca="false">IF($A23="","",Perancangan!$B$13*(1+Perancangan!$B$14)^($A23-1))</f>
        <v>2182.87458838194</v>
      </c>
      <c r="E23" s="15" t="n">
        <f aca="false">IF($A23="","",D23*12)</f>
        <v>26194.4950605832</v>
      </c>
      <c r="F23" s="15" t="n">
        <f aca="false">IF($A23="","",G23-C23-E23)</f>
        <v>31478.4532163153</v>
      </c>
      <c r="G23" s="15" t="n">
        <f aca="false">IF($A23="","",FV(Perancangan!$B$17/12,12,-D23,-C23))</f>
        <v>556166.032098389</v>
      </c>
      <c r="H23" s="15" t="n">
        <f aca="false">IF($A23="","",G23/(1+Perancangan!$B$18)^$A23)</f>
        <v>336489.596039756</v>
      </c>
    </row>
    <row r="24" customFormat="false" ht="15" hidden="false" customHeight="false" outlineLevel="0" collapsed="false">
      <c r="A24" s="35" t="n">
        <f aca="false">IF(18&gt;Perancangan!$B$9,"",18)</f>
        <v>18</v>
      </c>
      <c r="B24" s="35" t="n">
        <f aca="false">IF($A24="","",Perancangan!$B$7+$A24)</f>
        <v>53</v>
      </c>
      <c r="C24" s="15" t="n">
        <f aca="false">IF($A24="","",G23)</f>
        <v>556166.032098389</v>
      </c>
      <c r="D24" s="36" t="n">
        <f aca="false">IF($A24="","",Perancangan!$B$13*(1+Perancangan!$B$14)^($A24-1))</f>
        <v>2292.01831780103</v>
      </c>
      <c r="E24" s="15" t="n">
        <f aca="false">IF($A24="","",D24*12)</f>
        <v>27504.2198136124</v>
      </c>
      <c r="F24" s="15" t="n">
        <f aca="false">IF($A24="","",G24-C24-E24)</f>
        <v>35072.2189986397</v>
      </c>
      <c r="G24" s="15" t="n">
        <f aca="false">IF($A24="","",FV(Perancangan!$B$17/12,12,-D24,-C24))</f>
        <v>618742.470910641</v>
      </c>
      <c r="H24" s="15" t="n">
        <f aca="false">IF($A24="","",G24/(1+Perancangan!$B$18)^$A24)</f>
        <v>363445.990916085</v>
      </c>
    </row>
    <row r="25" customFormat="false" ht="15" hidden="false" customHeight="false" outlineLevel="0" collapsed="false">
      <c r="A25" s="35" t="n">
        <f aca="false">IF(19&gt;Perancangan!$B$9,"",19)</f>
        <v>19</v>
      </c>
      <c r="B25" s="35" t="n">
        <f aca="false">IF($A25="","",Perancangan!$B$7+$A25)</f>
        <v>54</v>
      </c>
      <c r="C25" s="15" t="n">
        <f aca="false">IF($A25="","",G24)</f>
        <v>618742.470910641</v>
      </c>
      <c r="D25" s="36" t="n">
        <f aca="false">IF($A25="","",Perancangan!$B$13*(1+Perancangan!$B$14)^($A25-1))</f>
        <v>2406.61923369109</v>
      </c>
      <c r="E25" s="15" t="n">
        <f aca="false">IF($A25="","",D25*12)</f>
        <v>28879.430804293</v>
      </c>
      <c r="F25" s="15" t="n">
        <f aca="false">IF($A25="","",G25-C25-E25)</f>
        <v>38970.2525741247</v>
      </c>
      <c r="G25" s="15" t="n">
        <f aca="false">IF($A25="","",FV(Perancangan!$B$17/12,12,-D25,-C25))</f>
        <v>686592.154289058</v>
      </c>
      <c r="H25" s="15" t="n">
        <f aca="false">IF($A25="","",G25/(1+Perancangan!$B$18)^$A25)</f>
        <v>391553.911709747</v>
      </c>
    </row>
    <row r="26" customFormat="false" ht="15" hidden="false" customHeight="false" outlineLevel="0" collapsed="false">
      <c r="A26" s="35" t="n">
        <f aca="false">IF(20&gt;Perancangan!$B$9,"",20)</f>
        <v>20</v>
      </c>
      <c r="B26" s="35" t="n">
        <f aca="false">IF($A26="","",Perancangan!$B$7+$A26)</f>
        <v>55</v>
      </c>
      <c r="C26" s="15" t="n">
        <f aca="false">IF($A26="","",G25)</f>
        <v>686592.154289058</v>
      </c>
      <c r="D26" s="36" t="n">
        <f aca="false">IF($A26="","",Perancangan!$B$13*(1+Perancangan!$B$14)^($A26-1))</f>
        <v>2526.95019537564</v>
      </c>
      <c r="E26" s="15" t="n">
        <f aca="false">IF($A26="","",D26*12)</f>
        <v>30323.4023445077</v>
      </c>
      <c r="F26" s="15" t="n">
        <f aca="false">IF($A26="","",G26-C26-E26)</f>
        <v>43195.4511236406</v>
      </c>
      <c r="G26" s="15" t="n">
        <f aca="false">IF($A26="","",FV(Perancangan!$B$17/12,12,-D26,-C26))</f>
        <v>760111.007757207</v>
      </c>
      <c r="H26" s="15" t="n">
        <f aca="false">IF($A26="","",G26/(1+Perancangan!$B$18)^$A26)</f>
        <v>420855.035485306</v>
      </c>
    </row>
    <row r="27" customFormat="false" ht="15" hidden="false" customHeight="false" outlineLevel="0" collapsed="false">
      <c r="A27" s="35" t="n">
        <f aca="false">IF(21&gt;Perancangan!$B$9,"",21)</f>
        <v>21</v>
      </c>
      <c r="B27" s="35" t="n">
        <f aca="false">IF($A27="","",Perancangan!$B$7+$A27)</f>
        <v>56</v>
      </c>
      <c r="C27" s="15" t="n">
        <f aca="false">IF($A27="","",G26)</f>
        <v>760111.007757207</v>
      </c>
      <c r="D27" s="36" t="n">
        <f aca="false">IF($A27="","",Perancangan!$B$13*(1+Perancangan!$B$14)^($A27-1))</f>
        <v>2653.29770514442</v>
      </c>
      <c r="E27" s="15" t="n">
        <f aca="false">IF($A27="","",D27*12)</f>
        <v>31839.5724617331</v>
      </c>
      <c r="F27" s="15" t="n">
        <f aca="false">IF($A27="","",G27-C27-E27)</f>
        <v>47772.3306065307</v>
      </c>
      <c r="G27" s="15" t="n">
        <f aca="false">IF($A27="","",FV(Perancangan!$B$17/12,12,-D27,-C27))</f>
        <v>839722.910825471</v>
      </c>
      <c r="H27" s="15" t="n">
        <f aca="false">IF($A27="","",G27/(1+Perancangan!$B$18)^$A27)</f>
        <v>451392.442678482</v>
      </c>
    </row>
    <row r="28" customFormat="false" ht="15" hidden="false" customHeight="false" outlineLevel="0" collapsed="false">
      <c r="A28" s="35" t="n">
        <f aca="false">IF(22&gt;Perancangan!$B$9,"",22)</f>
        <v>22</v>
      </c>
      <c r="B28" s="35" t="n">
        <f aca="false">IF($A28="","",Perancangan!$B$7+$A28)</f>
        <v>57</v>
      </c>
      <c r="C28" s="15" t="n">
        <f aca="false">IF($A28="","",G27)</f>
        <v>839722.910825471</v>
      </c>
      <c r="D28" s="36" t="n">
        <f aca="false">IF($A28="","",Perancangan!$B$13*(1+Perancangan!$B$14)^($A28-1))</f>
        <v>2785.96259040164</v>
      </c>
      <c r="E28" s="15" t="n">
        <f aca="false">IF($A28="","",D28*12)</f>
        <v>33431.5510848197</v>
      </c>
      <c r="F28" s="15" t="n">
        <f aca="false">IF($A28="","",G28-C28-E28)</f>
        <v>52727.1359298471</v>
      </c>
      <c r="G28" s="15" t="n">
        <f aca="false">IF($A28="","",FV(Perancangan!$B$17/12,12,-D28,-C28))</f>
        <v>925881.597840137</v>
      </c>
      <c r="H28" s="15" t="n">
        <f aca="false">IF($A28="","",G28/(1+Perancangan!$B$18)^$A28)</f>
        <v>483210.662617953</v>
      </c>
    </row>
    <row r="29" customFormat="false" ht="15" hidden="false" customHeight="false" outlineLevel="0" collapsed="false">
      <c r="A29" s="35" t="n">
        <f aca="false">IF(23&gt;Perancangan!$B$9,"",23)</f>
        <v>23</v>
      </c>
      <c r="B29" s="35" t="n">
        <f aca="false">IF($A29="","",Perancangan!$B$7+$A29)</f>
        <v>58</v>
      </c>
      <c r="C29" s="15" t="n">
        <f aca="false">IF($A29="","",G28)</f>
        <v>925881.597840137</v>
      </c>
      <c r="D29" s="36" t="n">
        <f aca="false">IF($A29="","",Perancangan!$B$13*(1+Perancangan!$B$14)^($A29-1))</f>
        <v>2925.26071992173</v>
      </c>
      <c r="E29" s="15" t="n">
        <f aca="false">IF($A29="","",D29*12)</f>
        <v>35103.1286390607</v>
      </c>
      <c r="F29" s="15" t="n">
        <f aca="false">IF($A29="","",G29-C29-E29)</f>
        <v>58087.9584289122</v>
      </c>
      <c r="G29" s="15" t="n">
        <f aca="false">IF($A29="","",FV(Perancangan!$B$17/12,12,-D29,-C29))</f>
        <v>1019072.68490811</v>
      </c>
      <c r="H29" s="15" t="n">
        <f aca="false">IF($A29="","",G29/(1+Perancangan!$B$18)^$A29)</f>
        <v>516355.720493033</v>
      </c>
    </row>
    <row r="30" customFormat="false" ht="15" hidden="false" customHeight="false" outlineLevel="0" collapsed="false">
      <c r="A30" s="35" t="n">
        <f aca="false">IF(24&gt;Perancangan!$B$9,"",24)</f>
        <v>24</v>
      </c>
      <c r="B30" s="35" t="n">
        <f aca="false">IF($A30="","",Perancangan!$B$7+$A30)</f>
        <v>59</v>
      </c>
      <c r="C30" s="15" t="n">
        <f aca="false">IF($A30="","",G29)</f>
        <v>1019072.68490811</v>
      </c>
      <c r="D30" s="36" t="n">
        <f aca="false">IF($A30="","",Perancangan!$B$13*(1+Perancangan!$B$14)^($A30-1))</f>
        <v>3071.52375591781</v>
      </c>
      <c r="E30" s="15" t="n">
        <f aca="false">IF($A30="","",D30*12)</f>
        <v>36858.2850710137</v>
      </c>
      <c r="F30" s="15" t="n">
        <f aca="false">IF($A30="","",G30-C30-E30)</f>
        <v>63884.861135965</v>
      </c>
      <c r="G30" s="15" t="n">
        <f aca="false">IF($A30="","",FV(Perancangan!$B$17/12,12,-D30,-C30))</f>
        <v>1119815.83111509</v>
      </c>
      <c r="H30" s="15" t="n">
        <f aca="false">IF($A30="","",G30/(1+Perancangan!$B$18)^$A30)</f>
        <v>550875.185812578</v>
      </c>
    </row>
    <row r="31" customFormat="false" ht="15" hidden="false" customHeight="false" outlineLevel="0" collapsed="false">
      <c r="A31" s="35" t="n">
        <f aca="false">IF(25&gt;Perancangan!$B$9,"",25)</f>
        <v>25</v>
      </c>
      <c r="B31" s="35" t="n">
        <f aca="false">IF($A31="","",Perancangan!$B$7+$A31)</f>
        <v>60</v>
      </c>
      <c r="C31" s="15" t="n">
        <f aca="false">IF($A31="","",G30)</f>
        <v>1119815.83111509</v>
      </c>
      <c r="D31" s="36" t="n">
        <f aca="false">IF($A31="","",Perancangan!$B$13*(1+Perancangan!$B$14)^($A31-1))</f>
        <v>3225.0999437137</v>
      </c>
      <c r="E31" s="15" t="n">
        <f aca="false">IF($A31="","",D31*12)</f>
        <v>38701.1993245644</v>
      </c>
      <c r="F31" s="15" t="n">
        <f aca="false">IF($A31="","",G31-C31-E31)</f>
        <v>70150.0123443544</v>
      </c>
      <c r="G31" s="15" t="n">
        <f aca="false">IF($A31="","",FV(Perancangan!$B$17/12,12,-D31,-C31))</f>
        <v>1228667.04278401</v>
      </c>
      <c r="H31" s="15" t="n">
        <f aca="false">IF($A31="","",G31/(1+Perancangan!$B$18)^$A31)</f>
        <v>586818.222401895</v>
      </c>
    </row>
    <row r="32" customFormat="false" ht="15" hidden="false" customHeight="false" outlineLevel="0" collapsed="false">
      <c r="A32" s="35" t="str">
        <f aca="false">IF(26&gt;Perancangan!$B$9,"",26)</f>
        <v/>
      </c>
      <c r="B32" s="35" t="str">
        <f aca="false">IF($A32="","",Perancangan!$B$7+$A32)</f>
        <v/>
      </c>
      <c r="C32" s="15" t="str">
        <f aca="false">IF($A32="","",G31)</f>
        <v/>
      </c>
      <c r="D32" s="36" t="str">
        <f aca="false">IF($A32="","",Perancangan!$B$13*(1+Perancangan!$B$14)^($A32-1))</f>
        <v/>
      </c>
      <c r="E32" s="15" t="str">
        <f aca="false">IF($A32="","",D32*12)</f>
        <v/>
      </c>
      <c r="F32" s="15" t="str">
        <f aca="false">IF($A32="","",G32-C32-E32)</f>
        <v/>
      </c>
      <c r="G32" s="15" t="str">
        <f aca="false">IF($A32="","",FV(Perancangan!$B$17/12,12,-D32,-C32))</f>
        <v/>
      </c>
      <c r="H32" s="15" t="str">
        <f aca="false">IF($A32="","",G32/(1+Perancangan!$B$18)^$A32)</f>
        <v/>
      </c>
    </row>
    <row r="33" customFormat="false" ht="15" hidden="false" customHeight="false" outlineLevel="0" collapsed="false">
      <c r="A33" s="35" t="str">
        <f aca="false">IF(27&gt;Perancangan!$B$9,"",27)</f>
        <v/>
      </c>
      <c r="B33" s="35" t="str">
        <f aca="false">IF($A33="","",Perancangan!$B$7+$A33)</f>
        <v/>
      </c>
      <c r="C33" s="15" t="str">
        <f aca="false">IF($A33="","",G32)</f>
        <v/>
      </c>
      <c r="D33" s="36" t="str">
        <f aca="false">IF($A33="","",Perancangan!$B$13*(1+Perancangan!$B$14)^($A33-1))</f>
        <v/>
      </c>
      <c r="E33" s="15" t="str">
        <f aca="false">IF($A33="","",D33*12)</f>
        <v/>
      </c>
      <c r="F33" s="15" t="str">
        <f aca="false">IF($A33="","",G33-C33-E33)</f>
        <v/>
      </c>
      <c r="G33" s="15" t="str">
        <f aca="false">IF($A33="","",FV(Perancangan!$B$17/12,12,-D33,-C33))</f>
        <v/>
      </c>
      <c r="H33" s="15" t="str">
        <f aca="false">IF($A33="","",G33/(1+Perancangan!$B$18)^$A33)</f>
        <v/>
      </c>
    </row>
    <row r="34" customFormat="false" ht="15" hidden="false" customHeight="false" outlineLevel="0" collapsed="false">
      <c r="A34" s="35" t="str">
        <f aca="false">IF(28&gt;Perancangan!$B$9,"",28)</f>
        <v/>
      </c>
      <c r="B34" s="35" t="str">
        <f aca="false">IF($A34="","",Perancangan!$B$7+$A34)</f>
        <v/>
      </c>
      <c r="C34" s="15" t="str">
        <f aca="false">IF($A34="","",G33)</f>
        <v/>
      </c>
      <c r="D34" s="36" t="str">
        <f aca="false">IF($A34="","",Perancangan!$B$13*(1+Perancangan!$B$14)^($A34-1))</f>
        <v/>
      </c>
      <c r="E34" s="15" t="str">
        <f aca="false">IF($A34="","",D34*12)</f>
        <v/>
      </c>
      <c r="F34" s="15" t="str">
        <f aca="false">IF($A34="","",G34-C34-E34)</f>
        <v/>
      </c>
      <c r="G34" s="15" t="str">
        <f aca="false">IF($A34="","",FV(Perancangan!$B$17/12,12,-D34,-C34))</f>
        <v/>
      </c>
      <c r="H34" s="15" t="str">
        <f aca="false">IF($A34="","",G34/(1+Perancangan!$B$18)^$A34)</f>
        <v/>
      </c>
    </row>
    <row r="35" customFormat="false" ht="15" hidden="false" customHeight="false" outlineLevel="0" collapsed="false">
      <c r="A35" s="35" t="str">
        <f aca="false">IF(29&gt;Perancangan!$B$9,"",29)</f>
        <v/>
      </c>
      <c r="B35" s="35" t="str">
        <f aca="false">IF($A35="","",Perancangan!$B$7+$A35)</f>
        <v/>
      </c>
      <c r="C35" s="15" t="str">
        <f aca="false">IF($A35="","",G34)</f>
        <v/>
      </c>
      <c r="D35" s="36" t="str">
        <f aca="false">IF($A35="","",Perancangan!$B$13*(1+Perancangan!$B$14)^($A35-1))</f>
        <v/>
      </c>
      <c r="E35" s="15" t="str">
        <f aca="false">IF($A35="","",D35*12)</f>
        <v/>
      </c>
      <c r="F35" s="15" t="str">
        <f aca="false">IF($A35="","",G35-C35-E35)</f>
        <v/>
      </c>
      <c r="G35" s="15" t="str">
        <f aca="false">IF($A35="","",FV(Perancangan!$B$17/12,12,-D35,-C35))</f>
        <v/>
      </c>
      <c r="H35" s="15" t="str">
        <f aca="false">IF($A35="","",G35/(1+Perancangan!$B$18)^$A35)</f>
        <v/>
      </c>
    </row>
    <row r="36" customFormat="false" ht="15" hidden="false" customHeight="false" outlineLevel="0" collapsed="false">
      <c r="A36" s="35" t="str">
        <f aca="false">IF(30&gt;Perancangan!$B$9,"",30)</f>
        <v/>
      </c>
      <c r="B36" s="35" t="str">
        <f aca="false">IF($A36="","",Perancangan!$B$7+$A36)</f>
        <v/>
      </c>
      <c r="C36" s="15" t="str">
        <f aca="false">IF($A36="","",G35)</f>
        <v/>
      </c>
      <c r="D36" s="36" t="str">
        <f aca="false">IF($A36="","",Perancangan!$B$13*(1+Perancangan!$B$14)^($A36-1))</f>
        <v/>
      </c>
      <c r="E36" s="15" t="str">
        <f aca="false">IF($A36="","",D36*12)</f>
        <v/>
      </c>
      <c r="F36" s="15" t="str">
        <f aca="false">IF($A36="","",G36-C36-E36)</f>
        <v/>
      </c>
      <c r="G36" s="15" t="str">
        <f aca="false">IF($A36="","",FV(Perancangan!$B$17/12,12,-D36,-C36))</f>
        <v/>
      </c>
      <c r="H36" s="15" t="str">
        <f aca="false">IF($A36="","",G36/(1+Perancangan!$B$18)^$A36)</f>
        <v/>
      </c>
    </row>
    <row r="37" customFormat="false" ht="15" hidden="false" customHeight="false" outlineLevel="0" collapsed="false">
      <c r="A37" s="35" t="str">
        <f aca="false">IF(31&gt;Perancangan!$B$9,"",31)</f>
        <v/>
      </c>
      <c r="B37" s="35" t="str">
        <f aca="false">IF($A37="","",Perancangan!$B$7+$A37)</f>
        <v/>
      </c>
      <c r="C37" s="15" t="str">
        <f aca="false">IF($A37="","",G36)</f>
        <v/>
      </c>
      <c r="D37" s="36" t="str">
        <f aca="false">IF($A37="","",Perancangan!$B$13*(1+Perancangan!$B$14)^($A37-1))</f>
        <v/>
      </c>
      <c r="E37" s="15" t="str">
        <f aca="false">IF($A37="","",D37*12)</f>
        <v/>
      </c>
      <c r="F37" s="15" t="str">
        <f aca="false">IF($A37="","",G37-C37-E37)</f>
        <v/>
      </c>
      <c r="G37" s="15" t="str">
        <f aca="false">IF($A37="","",FV(Perancangan!$B$17/12,12,-D37,-C37))</f>
        <v/>
      </c>
      <c r="H37" s="15" t="str">
        <f aca="false">IF($A37="","",G37/(1+Perancangan!$B$18)^$A37)</f>
        <v/>
      </c>
    </row>
    <row r="38" customFormat="false" ht="15" hidden="false" customHeight="false" outlineLevel="0" collapsed="false">
      <c r="A38" s="35" t="str">
        <f aca="false">IF(32&gt;Perancangan!$B$9,"",32)</f>
        <v/>
      </c>
      <c r="B38" s="35" t="str">
        <f aca="false">IF($A38="","",Perancangan!$B$7+$A38)</f>
        <v/>
      </c>
      <c r="C38" s="15" t="str">
        <f aca="false">IF($A38="","",G37)</f>
        <v/>
      </c>
      <c r="D38" s="36" t="str">
        <f aca="false">IF($A38="","",Perancangan!$B$13*(1+Perancangan!$B$14)^($A38-1))</f>
        <v/>
      </c>
      <c r="E38" s="15" t="str">
        <f aca="false">IF($A38="","",D38*12)</f>
        <v/>
      </c>
      <c r="F38" s="15" t="str">
        <f aca="false">IF($A38="","",G38-C38-E38)</f>
        <v/>
      </c>
      <c r="G38" s="15" t="str">
        <f aca="false">IF($A38="","",FV(Perancangan!$B$17/12,12,-D38,-C38))</f>
        <v/>
      </c>
      <c r="H38" s="15" t="str">
        <f aca="false">IF($A38="","",G38/(1+Perancangan!$B$18)^$A38)</f>
        <v/>
      </c>
    </row>
    <row r="39" customFormat="false" ht="15" hidden="false" customHeight="false" outlineLevel="0" collapsed="false">
      <c r="A39" s="35" t="str">
        <f aca="false">IF(33&gt;Perancangan!$B$9,"",33)</f>
        <v/>
      </c>
      <c r="B39" s="35" t="str">
        <f aca="false">IF($A39="","",Perancangan!$B$7+$A39)</f>
        <v/>
      </c>
      <c r="C39" s="15" t="str">
        <f aca="false">IF($A39="","",G38)</f>
        <v/>
      </c>
      <c r="D39" s="36" t="str">
        <f aca="false">IF($A39="","",Perancangan!$B$13*(1+Perancangan!$B$14)^($A39-1))</f>
        <v/>
      </c>
      <c r="E39" s="15" t="str">
        <f aca="false">IF($A39="","",D39*12)</f>
        <v/>
      </c>
      <c r="F39" s="15" t="str">
        <f aca="false">IF($A39="","",G39-C39-E39)</f>
        <v/>
      </c>
      <c r="G39" s="15" t="str">
        <f aca="false">IF($A39="","",FV(Perancangan!$B$17/12,12,-D39,-C39))</f>
        <v/>
      </c>
      <c r="H39" s="15" t="str">
        <f aca="false">IF($A39="","",G39/(1+Perancangan!$B$18)^$A39)</f>
        <v/>
      </c>
    </row>
    <row r="40" customFormat="false" ht="15" hidden="false" customHeight="false" outlineLevel="0" collapsed="false">
      <c r="A40" s="35" t="str">
        <f aca="false">IF(34&gt;Perancangan!$B$9,"",34)</f>
        <v/>
      </c>
      <c r="B40" s="35" t="str">
        <f aca="false">IF($A40="","",Perancangan!$B$7+$A40)</f>
        <v/>
      </c>
      <c r="C40" s="15" t="str">
        <f aca="false">IF($A40="","",G39)</f>
        <v/>
      </c>
      <c r="D40" s="36" t="str">
        <f aca="false">IF($A40="","",Perancangan!$B$13*(1+Perancangan!$B$14)^($A40-1))</f>
        <v/>
      </c>
      <c r="E40" s="15" t="str">
        <f aca="false">IF($A40="","",D40*12)</f>
        <v/>
      </c>
      <c r="F40" s="15" t="str">
        <f aca="false">IF($A40="","",G40-C40-E40)</f>
        <v/>
      </c>
      <c r="G40" s="15" t="str">
        <f aca="false">IF($A40="","",FV(Perancangan!$B$17/12,12,-D40,-C40))</f>
        <v/>
      </c>
      <c r="H40" s="15" t="str">
        <f aca="false">IF($A40="","",G40/(1+Perancangan!$B$18)^$A40)</f>
        <v/>
      </c>
    </row>
    <row r="41" customFormat="false" ht="15" hidden="false" customHeight="false" outlineLevel="0" collapsed="false">
      <c r="A41" s="35" t="str">
        <f aca="false">IF(35&gt;Perancangan!$B$9,"",35)</f>
        <v/>
      </c>
      <c r="B41" s="35" t="str">
        <f aca="false">IF($A41="","",Perancangan!$B$7+$A41)</f>
        <v/>
      </c>
      <c r="C41" s="15" t="str">
        <f aca="false">IF($A41="","",G40)</f>
        <v/>
      </c>
      <c r="D41" s="36" t="str">
        <f aca="false">IF($A41="","",Perancangan!$B$13*(1+Perancangan!$B$14)^($A41-1))</f>
        <v/>
      </c>
      <c r="E41" s="15" t="str">
        <f aca="false">IF($A41="","",D41*12)</f>
        <v/>
      </c>
      <c r="F41" s="15" t="str">
        <f aca="false">IF($A41="","",G41-C41-E41)</f>
        <v/>
      </c>
      <c r="G41" s="15" t="str">
        <f aca="false">IF($A41="","",FV(Perancangan!$B$17/12,12,-D41,-C41))</f>
        <v/>
      </c>
      <c r="H41" s="15" t="str">
        <f aca="false">IF($A41="","",G41/(1+Perancangan!$B$18)^$A41)</f>
        <v/>
      </c>
    </row>
    <row r="42" customFormat="false" ht="15" hidden="false" customHeight="false" outlineLevel="0" collapsed="false">
      <c r="A42" s="35" t="str">
        <f aca="false">IF(36&gt;Perancangan!$B$9,"",36)</f>
        <v/>
      </c>
      <c r="B42" s="35" t="str">
        <f aca="false">IF($A42="","",Perancangan!$B$7+$A42)</f>
        <v/>
      </c>
      <c r="C42" s="15" t="str">
        <f aca="false">IF($A42="","",G41)</f>
        <v/>
      </c>
      <c r="D42" s="36" t="str">
        <f aca="false">IF($A42="","",Perancangan!$B$13*(1+Perancangan!$B$14)^($A42-1))</f>
        <v/>
      </c>
      <c r="E42" s="15" t="str">
        <f aca="false">IF($A42="","",D42*12)</f>
        <v/>
      </c>
      <c r="F42" s="15" t="str">
        <f aca="false">IF($A42="","",G42-C42-E42)</f>
        <v/>
      </c>
      <c r="G42" s="15" t="str">
        <f aca="false">IF($A42="","",FV(Perancangan!$B$17/12,12,-D42,-C42))</f>
        <v/>
      </c>
      <c r="H42" s="15" t="str">
        <f aca="false">IF($A42="","",G42/(1+Perancangan!$B$18)^$A42)</f>
        <v/>
      </c>
    </row>
    <row r="43" customFormat="false" ht="15" hidden="false" customHeight="false" outlineLevel="0" collapsed="false">
      <c r="A43" s="35" t="str">
        <f aca="false">IF(37&gt;Perancangan!$B$9,"",37)</f>
        <v/>
      </c>
      <c r="B43" s="35" t="str">
        <f aca="false">IF($A43="","",Perancangan!$B$7+$A43)</f>
        <v/>
      </c>
      <c r="C43" s="15" t="str">
        <f aca="false">IF($A43="","",G42)</f>
        <v/>
      </c>
      <c r="D43" s="36" t="str">
        <f aca="false">IF($A43="","",Perancangan!$B$13*(1+Perancangan!$B$14)^($A43-1))</f>
        <v/>
      </c>
      <c r="E43" s="15" t="str">
        <f aca="false">IF($A43="","",D43*12)</f>
        <v/>
      </c>
      <c r="F43" s="15" t="str">
        <f aca="false">IF($A43="","",G43-C43-E43)</f>
        <v/>
      </c>
      <c r="G43" s="15" t="str">
        <f aca="false">IF($A43="","",FV(Perancangan!$B$17/12,12,-D43,-C43))</f>
        <v/>
      </c>
      <c r="H43" s="15" t="str">
        <f aca="false">IF($A43="","",G43/(1+Perancangan!$B$18)^$A43)</f>
        <v/>
      </c>
    </row>
    <row r="44" customFormat="false" ht="15" hidden="false" customHeight="false" outlineLevel="0" collapsed="false">
      <c r="A44" s="35" t="str">
        <f aca="false">IF(38&gt;Perancangan!$B$9,"",38)</f>
        <v/>
      </c>
      <c r="B44" s="35" t="str">
        <f aca="false">IF($A44="","",Perancangan!$B$7+$A44)</f>
        <v/>
      </c>
      <c r="C44" s="15" t="str">
        <f aca="false">IF($A44="","",G43)</f>
        <v/>
      </c>
      <c r="D44" s="36" t="str">
        <f aca="false">IF($A44="","",Perancangan!$B$13*(1+Perancangan!$B$14)^($A44-1))</f>
        <v/>
      </c>
      <c r="E44" s="15" t="str">
        <f aca="false">IF($A44="","",D44*12)</f>
        <v/>
      </c>
      <c r="F44" s="15" t="str">
        <f aca="false">IF($A44="","",G44-C44-E44)</f>
        <v/>
      </c>
      <c r="G44" s="15" t="str">
        <f aca="false">IF($A44="","",FV(Perancangan!$B$17/12,12,-D44,-C44))</f>
        <v/>
      </c>
      <c r="H44" s="15" t="str">
        <f aca="false">IF($A44="","",G44/(1+Perancangan!$B$18)^$A44)</f>
        <v/>
      </c>
    </row>
    <row r="45" customFormat="false" ht="15" hidden="false" customHeight="false" outlineLevel="0" collapsed="false">
      <c r="A45" s="35" t="str">
        <f aca="false">IF(39&gt;Perancangan!$B$9,"",39)</f>
        <v/>
      </c>
      <c r="B45" s="35" t="str">
        <f aca="false">IF($A45="","",Perancangan!$B$7+$A45)</f>
        <v/>
      </c>
      <c r="C45" s="15" t="str">
        <f aca="false">IF($A45="","",G44)</f>
        <v/>
      </c>
      <c r="D45" s="36" t="str">
        <f aca="false">IF($A45="","",Perancangan!$B$13*(1+Perancangan!$B$14)^($A45-1))</f>
        <v/>
      </c>
      <c r="E45" s="15" t="str">
        <f aca="false">IF($A45="","",D45*12)</f>
        <v/>
      </c>
      <c r="F45" s="15" t="str">
        <f aca="false">IF($A45="","",G45-C45-E45)</f>
        <v/>
      </c>
      <c r="G45" s="15" t="str">
        <f aca="false">IF($A45="","",FV(Perancangan!$B$17/12,12,-D45,-C45))</f>
        <v/>
      </c>
      <c r="H45" s="15" t="str">
        <f aca="false">IF($A45="","",G45/(1+Perancangan!$B$18)^$A45)</f>
        <v/>
      </c>
    </row>
    <row r="46" customFormat="false" ht="15" hidden="false" customHeight="false" outlineLevel="0" collapsed="false">
      <c r="A46" s="35" t="str">
        <f aca="false">IF(40&gt;Perancangan!$B$9,"",40)</f>
        <v/>
      </c>
      <c r="B46" s="35" t="str">
        <f aca="false">IF($A46="","",Perancangan!$B$7+$A46)</f>
        <v/>
      </c>
      <c r="C46" s="15" t="str">
        <f aca="false">IF($A46="","",G45)</f>
        <v/>
      </c>
      <c r="D46" s="36" t="str">
        <f aca="false">IF($A46="","",Perancangan!$B$13*(1+Perancangan!$B$14)^($A46-1))</f>
        <v/>
      </c>
      <c r="E46" s="15" t="str">
        <f aca="false">IF($A46="","",D46*12)</f>
        <v/>
      </c>
      <c r="F46" s="15" t="str">
        <f aca="false">IF($A46="","",G46-C46-E46)</f>
        <v/>
      </c>
      <c r="G46" s="15" t="str">
        <f aca="false">IF($A46="","",FV(Perancangan!$B$17/12,12,-D46,-C46))</f>
        <v/>
      </c>
      <c r="H46" s="15" t="str">
        <f aca="false">IF($A46="","",G46/(1+Perancangan!$B$18)^$A46)</f>
        <v/>
      </c>
    </row>
    <row r="47" customFormat="false" ht="15" hidden="false" customHeight="false" outlineLevel="0" collapsed="false">
      <c r="A47" s="35" t="str">
        <f aca="false">IF(41&gt;Perancangan!$B$9,"",41)</f>
        <v/>
      </c>
      <c r="B47" s="35" t="str">
        <f aca="false">IF($A47="","",Perancangan!$B$7+$A47)</f>
        <v/>
      </c>
      <c r="C47" s="15" t="str">
        <f aca="false">IF($A47="","",G46)</f>
        <v/>
      </c>
      <c r="D47" s="36" t="str">
        <f aca="false">IF($A47="","",Perancangan!$B$13*(1+Perancangan!$B$14)^($A47-1))</f>
        <v/>
      </c>
      <c r="E47" s="15" t="str">
        <f aca="false">IF($A47="","",D47*12)</f>
        <v/>
      </c>
      <c r="F47" s="15" t="str">
        <f aca="false">IF($A47="","",G47-C47-E47)</f>
        <v/>
      </c>
      <c r="G47" s="15" t="str">
        <f aca="false">IF($A47="","",FV(Perancangan!$B$17/12,12,-D47,-C47))</f>
        <v/>
      </c>
      <c r="H47" s="15" t="str">
        <f aca="false">IF($A47="","",G47/(1+Perancangan!$B$18)^$A47)</f>
        <v/>
      </c>
    </row>
    <row r="48" customFormat="false" ht="15" hidden="false" customHeight="false" outlineLevel="0" collapsed="false">
      <c r="A48" s="35" t="str">
        <f aca="false">IF(42&gt;Perancangan!$B$9,"",42)</f>
        <v/>
      </c>
      <c r="B48" s="35" t="str">
        <f aca="false">IF($A48="","",Perancangan!$B$7+$A48)</f>
        <v/>
      </c>
      <c r="C48" s="15" t="str">
        <f aca="false">IF($A48="","",G47)</f>
        <v/>
      </c>
      <c r="D48" s="36" t="str">
        <f aca="false">IF($A48="","",Perancangan!$B$13*(1+Perancangan!$B$14)^($A48-1))</f>
        <v/>
      </c>
      <c r="E48" s="15" t="str">
        <f aca="false">IF($A48="","",D48*12)</f>
        <v/>
      </c>
      <c r="F48" s="15" t="str">
        <f aca="false">IF($A48="","",G48-C48-E48)</f>
        <v/>
      </c>
      <c r="G48" s="15" t="str">
        <f aca="false">IF($A48="","",FV(Perancangan!$B$17/12,12,-D48,-C48))</f>
        <v/>
      </c>
      <c r="H48" s="15" t="str">
        <f aca="false">IF($A48="","",G48/(1+Perancangan!$B$18)^$A48)</f>
        <v/>
      </c>
    </row>
    <row r="49" customFormat="false" ht="15" hidden="false" customHeight="false" outlineLevel="0" collapsed="false">
      <c r="A49" s="35" t="str">
        <f aca="false">IF(43&gt;Perancangan!$B$9,"",43)</f>
        <v/>
      </c>
      <c r="B49" s="35" t="str">
        <f aca="false">IF($A49="","",Perancangan!$B$7+$A49)</f>
        <v/>
      </c>
      <c r="C49" s="15" t="str">
        <f aca="false">IF($A49="","",G48)</f>
        <v/>
      </c>
      <c r="D49" s="36" t="str">
        <f aca="false">IF($A49="","",Perancangan!$B$13*(1+Perancangan!$B$14)^($A49-1))</f>
        <v/>
      </c>
      <c r="E49" s="15" t="str">
        <f aca="false">IF($A49="","",D49*12)</f>
        <v/>
      </c>
      <c r="F49" s="15" t="str">
        <f aca="false">IF($A49="","",G49-C49-E49)</f>
        <v/>
      </c>
      <c r="G49" s="15" t="str">
        <f aca="false">IF($A49="","",FV(Perancangan!$B$17/12,12,-D49,-C49))</f>
        <v/>
      </c>
      <c r="H49" s="15" t="str">
        <f aca="false">IF($A49="","",G49/(1+Perancangan!$B$18)^$A49)</f>
        <v/>
      </c>
    </row>
    <row r="50" customFormat="false" ht="15" hidden="false" customHeight="false" outlineLevel="0" collapsed="false">
      <c r="A50" s="35" t="str">
        <f aca="false">IF(44&gt;Perancangan!$B$9,"",44)</f>
        <v/>
      </c>
      <c r="B50" s="35" t="str">
        <f aca="false">IF($A50="","",Perancangan!$B$7+$A50)</f>
        <v/>
      </c>
      <c r="C50" s="15" t="str">
        <f aca="false">IF($A50="","",G49)</f>
        <v/>
      </c>
      <c r="D50" s="36" t="str">
        <f aca="false">IF($A50="","",Perancangan!$B$13*(1+Perancangan!$B$14)^($A50-1))</f>
        <v/>
      </c>
      <c r="E50" s="15" t="str">
        <f aca="false">IF($A50="","",D50*12)</f>
        <v/>
      </c>
      <c r="F50" s="15" t="str">
        <f aca="false">IF($A50="","",G50-C50-E50)</f>
        <v/>
      </c>
      <c r="G50" s="15" t="str">
        <f aca="false">IF($A50="","",FV(Perancangan!$B$17/12,12,-D50,-C50))</f>
        <v/>
      </c>
      <c r="H50" s="15" t="str">
        <f aca="false">IF($A50="","",G50/(1+Perancangan!$B$18)^$A50)</f>
        <v/>
      </c>
    </row>
    <row r="51" customFormat="false" ht="15" hidden="false" customHeight="false" outlineLevel="0" collapsed="false">
      <c r="A51" s="35" t="str">
        <f aca="false">IF(45&gt;Perancangan!$B$9,"",45)</f>
        <v/>
      </c>
      <c r="B51" s="35" t="str">
        <f aca="false">IF($A51="","",Perancangan!$B$7+$A51)</f>
        <v/>
      </c>
      <c r="C51" s="15" t="str">
        <f aca="false">IF($A51="","",G50)</f>
        <v/>
      </c>
      <c r="D51" s="36" t="str">
        <f aca="false">IF($A51="","",Perancangan!$B$13*(1+Perancangan!$B$14)^($A51-1))</f>
        <v/>
      </c>
      <c r="E51" s="15" t="str">
        <f aca="false">IF($A51="","",D51*12)</f>
        <v/>
      </c>
      <c r="F51" s="15" t="str">
        <f aca="false">IF($A51="","",G51-C51-E51)</f>
        <v/>
      </c>
      <c r="G51" s="15" t="str">
        <f aca="false">IF($A51="","",FV(Perancangan!$B$17/12,12,-D51,-C51))</f>
        <v/>
      </c>
      <c r="H51" s="15" t="str">
        <f aca="false">IF($A51="","",G51/(1+Perancangan!$B$18)^$A51)</f>
        <v/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15" hidden="false" customHeight="false" outlineLevel="0" collapsed="false">
      <c r="A1" s="37" t="s">
        <v>81</v>
      </c>
    </row>
    <row r="2" customFormat="false" ht="15" hidden="false" customHeight="false" outlineLevel="0" collapsed="false">
      <c r="A2" s="38"/>
    </row>
    <row r="3" customFormat="false" ht="15" hidden="false" customHeight="false" outlineLevel="0" collapsed="false">
      <c r="A3" s="38" t="s">
        <v>82</v>
      </c>
    </row>
    <row r="4" customFormat="false" ht="23.85" hidden="false" customHeight="false" outlineLevel="0" collapsed="false">
      <c r="A4" s="38" t="s">
        <v>83</v>
      </c>
    </row>
    <row r="5" customFormat="false" ht="23.85" hidden="false" customHeight="false" outlineLevel="0" collapsed="false">
      <c r="A5" s="38" t="s">
        <v>84</v>
      </c>
    </row>
    <row r="6" customFormat="false" ht="15" hidden="false" customHeight="false" outlineLevel="0" collapsed="false">
      <c r="A6" s="38"/>
    </row>
    <row r="7" customFormat="false" ht="15" hidden="false" customHeight="false" outlineLevel="0" collapsed="false">
      <c r="A7" s="37" t="s">
        <v>85</v>
      </c>
    </row>
    <row r="8" customFormat="false" ht="15" hidden="false" customHeight="false" outlineLevel="0" collapsed="false">
      <c r="A8" s="38" t="s">
        <v>86</v>
      </c>
    </row>
    <row r="9" customFormat="false" ht="15" hidden="false" customHeight="false" outlineLevel="0" collapsed="false">
      <c r="A9" s="38" t="s">
        <v>87</v>
      </c>
    </row>
    <row r="10" customFormat="false" ht="15" hidden="false" customHeight="false" outlineLevel="0" collapsed="false">
      <c r="A10" s="38" t="s">
        <v>88</v>
      </c>
    </row>
    <row r="11" customFormat="false" ht="15" hidden="false" customHeight="false" outlineLevel="0" collapsed="false">
      <c r="A11" s="38" t="s">
        <v>89</v>
      </c>
    </row>
    <row r="12" customFormat="false" ht="15" hidden="false" customHeight="false" outlineLevel="0" collapsed="false">
      <c r="A12" s="38"/>
    </row>
    <row r="13" customFormat="false" ht="15" hidden="false" customHeight="false" outlineLevel="0" collapsed="false">
      <c r="A13" s="37" t="s">
        <v>90</v>
      </c>
    </row>
    <row r="14" customFormat="false" ht="15" hidden="false" customHeight="false" outlineLevel="0" collapsed="false">
      <c r="A14" s="38" t="s">
        <v>91</v>
      </c>
    </row>
    <row r="15" customFormat="false" ht="15" hidden="false" customHeight="false" outlineLevel="0" collapsed="false">
      <c r="A15" s="38" t="s">
        <v>92</v>
      </c>
    </row>
    <row r="16" customFormat="false" ht="15" hidden="false" customHeight="false" outlineLevel="0" collapsed="false">
      <c r="A16" s="38" t="s">
        <v>93</v>
      </c>
    </row>
    <row r="17" customFormat="false" ht="23.85" hidden="false" customHeight="false" outlineLevel="0" collapsed="false">
      <c r="A17" s="38" t="s">
        <v>94</v>
      </c>
    </row>
    <row r="18" customFormat="false" ht="15" hidden="false" customHeight="false" outlineLevel="0" collapsed="false">
      <c r="A18" s="38" t="s">
        <v>95</v>
      </c>
    </row>
    <row r="19" customFormat="false" ht="15" hidden="false" customHeight="false" outlineLevel="0" collapsed="false">
      <c r="A19" s="38"/>
    </row>
    <row r="20" customFormat="false" ht="15" hidden="false" customHeight="false" outlineLevel="0" collapsed="false">
      <c r="A20" s="37" t="s">
        <v>96</v>
      </c>
    </row>
    <row r="21" customFormat="false" ht="23.85" hidden="false" customHeight="false" outlineLevel="0" collapsed="false">
      <c r="A21" s="38" t="s">
        <v>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2026-09-18T14:37:43Z</dcterms:created>
  <dc:creator>openpyxl</dc:creator>
  <dc:description/>
  <dc:language>en-US</dc:language>
  <cp:lastModifiedBy/>
  <dcterms:modified xsi:type="dcterms:W3CDTF">2026-09-18T14:37:57Z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